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S:\Shared Folders\Active Projects\A. Georgia\2023 Deals\Riverdale\Financing - Debt - Equity - Applications\A. Applications\2023-0xxHelxAppFldr\"/>
    </mc:Choice>
  </mc:AlternateContent>
  <xr:revisionPtr revIDLastSave="0" documentId="13_ncr:1_{02D71742-1C9F-4829-B56C-65D7417EA129}"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680" yWindow="-120" windowWidth="29040" windowHeight="15720" tabRatio="872" firstSheet="7" activeTab="14"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workbook>
</file>

<file path=xl/calcChain.xml><?xml version="1.0" encoding="utf-8"?>
<calcChain xmlns="http://schemas.openxmlformats.org/spreadsheetml/2006/main">
  <c r="AG1600" i="103" l="1"/>
  <c r="AQ430" i="102"/>
  <c r="AQ1581" i="103"/>
  <c r="O1191" i="103"/>
  <c r="P1257" i="103"/>
  <c r="O1257" i="103"/>
  <c r="P1340" i="103"/>
  <c r="O1340" i="103"/>
  <c r="P1422" i="103"/>
  <c r="O1422" i="103"/>
  <c r="P1503" i="103"/>
  <c r="P1509" i="103"/>
  <c r="O1509" i="103"/>
  <c r="P97" i="102"/>
  <c r="O97" i="102"/>
  <c r="M1529" i="103"/>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c r="E32" i="102"/>
  <c r="E1183" i="103"/>
  <c r="F31" i="102"/>
  <c r="F1182" i="103"/>
  <c r="N20" i="103"/>
  <c r="F20" i="103"/>
  <c r="N19" i="103"/>
  <c r="J19" i="103"/>
  <c r="F19" i="103"/>
  <c r="N15" i="103"/>
  <c r="J15" i="103"/>
  <c r="F15" i="103"/>
  <c r="N16" i="103"/>
  <c r="F16" i="103"/>
  <c r="L365" i="102"/>
  <c r="P365" i="102"/>
  <c r="P1516" i="103"/>
  <c r="O365" i="102"/>
  <c r="L358" i="102"/>
  <c r="L345" i="102"/>
  <c r="O36" i="102"/>
  <c r="P152" i="102"/>
  <c r="O152" i="102"/>
  <c r="E31" i="102"/>
  <c r="E1182" i="103"/>
  <c r="O1516" i="103"/>
  <c r="D36" i="102"/>
  <c r="D1187" i="103"/>
  <c r="C36" i="102"/>
  <c r="AH449" i="102"/>
  <c r="AH1600" i="103"/>
  <c r="BI446" i="102"/>
  <c r="BL446" i="102"/>
  <c r="BH446" i="102"/>
  <c r="BK446" i="102"/>
  <c r="BJ446" i="102"/>
  <c r="P262" i="102"/>
  <c r="P1413" i="103"/>
  <c r="P374" i="102"/>
  <c r="P1525" i="103"/>
  <c r="O374" i="102"/>
  <c r="O1525" i="103"/>
  <c r="O200" i="102"/>
  <c r="P223" i="102"/>
  <c r="L271" i="102"/>
  <c r="O171" i="102"/>
  <c r="R171" i="102"/>
  <c r="P200" i="102"/>
  <c r="O253" i="102"/>
  <c r="O312" i="102"/>
  <c r="L200" i="102"/>
  <c r="P253" i="102"/>
  <c r="BK436" i="102"/>
  <c r="P312" i="102"/>
  <c r="P1463" i="103"/>
  <c r="BF1591" i="103"/>
  <c r="P171" i="102"/>
  <c r="BF429" i="102"/>
  <c r="E189" i="102"/>
  <c r="O223" i="102"/>
  <c r="O1374" i="103"/>
  <c r="AY1585" i="103"/>
  <c r="P77" i="102"/>
  <c r="O77" i="102"/>
  <c r="AY423" i="102"/>
  <c r="A1559" i="103"/>
  <c r="B1549" i="103"/>
  <c r="B1547" i="103"/>
  <c r="O1538" i="103"/>
  <c r="O1526" i="103"/>
  <c r="Q1526" i="103"/>
  <c r="O1518" i="103"/>
  <c r="Q1518" i="103"/>
  <c r="O1517" i="103"/>
  <c r="O1504" i="103"/>
  <c r="O1496" i="103"/>
  <c r="BD1594" i="103"/>
  <c r="O1489" i="103"/>
  <c r="O1487" i="103"/>
  <c r="Q1487" i="103"/>
  <c r="O1486" i="103"/>
  <c r="Q1486" i="103"/>
  <c r="O1485" i="103"/>
  <c r="Q1485" i="103"/>
  <c r="O1484" i="103"/>
  <c r="Q1484" i="103"/>
  <c r="O1478" i="103"/>
  <c r="O1477" i="103"/>
  <c r="O1467" i="103"/>
  <c r="Q1467" i="103"/>
  <c r="O1465" i="103"/>
  <c r="Q1465" i="103"/>
  <c r="B1466" i="103"/>
  <c r="G1464" i="103"/>
  <c r="O1456" i="103"/>
  <c r="O1455" i="103"/>
  <c r="O1454" i="103"/>
  <c r="O1453" i="103"/>
  <c r="L1453" i="103"/>
  <c r="J1436" i="103"/>
  <c r="J1437" i="103"/>
  <c r="J1438" i="103"/>
  <c r="J1439" i="103"/>
  <c r="J1440" i="103"/>
  <c r="J1441" i="103"/>
  <c r="J1442" i="103"/>
  <c r="J1443" i="103"/>
  <c r="J1444" i="103"/>
  <c r="J1445" i="103"/>
  <c r="J1435" i="103"/>
  <c r="I1423" i="103"/>
  <c r="I1405" i="103"/>
  <c r="O1433" i="103"/>
  <c r="O1432" i="103"/>
  <c r="O1417" i="103"/>
  <c r="O1415" i="103"/>
  <c r="O1406" i="103"/>
  <c r="Q1406" i="103"/>
  <c r="O1405" i="103"/>
  <c r="Q1405" i="103"/>
  <c r="O1395" i="103"/>
  <c r="Q1395" i="103"/>
  <c r="O1392" i="103"/>
  <c r="Q1392" i="103"/>
  <c r="O1397" i="103"/>
  <c r="O1396" i="103"/>
  <c r="O1394" i="103"/>
  <c r="O1393" i="103"/>
  <c r="O1390" i="103"/>
  <c r="I1388" i="103"/>
  <c r="I1387" i="103"/>
  <c r="I1386" i="103"/>
  <c r="B1377" i="103"/>
  <c r="O1375" i="103"/>
  <c r="O1369" i="103"/>
  <c r="O1367" i="103"/>
  <c r="O1365" i="103"/>
  <c r="O1364" i="103"/>
  <c r="O1363" i="103"/>
  <c r="O1354" i="103"/>
  <c r="Q1354" i="103"/>
  <c r="O1353" i="103"/>
  <c r="O1352" i="103"/>
  <c r="Q1352" i="103"/>
  <c r="K1343" i="103"/>
  <c r="H1343" i="103"/>
  <c r="K1342" i="103"/>
  <c r="H1342" i="103"/>
  <c r="G1343" i="103"/>
  <c r="G1342" i="103"/>
  <c r="O1341" i="103"/>
  <c r="O1333" i="103"/>
  <c r="O1332" i="103"/>
  <c r="I1311" i="103"/>
  <c r="I1312" i="103"/>
  <c r="I1310" i="103"/>
  <c r="E1311" i="103"/>
  <c r="E1312" i="103"/>
  <c r="E1310" i="103"/>
  <c r="J1306" i="103"/>
  <c r="J1305" i="103"/>
  <c r="O1324" i="103"/>
  <c r="Q1324" i="103"/>
  <c r="O1323" i="103"/>
  <c r="Q1323" i="103"/>
  <c r="O1308" i="103"/>
  <c r="Q1308" i="103"/>
  <c r="O1304" i="103"/>
  <c r="Q1304" i="103"/>
  <c r="O1296" i="103"/>
  <c r="O1295" i="103"/>
  <c r="O1284" i="103"/>
  <c r="Q1284" i="103"/>
  <c r="O1285" i="103"/>
  <c r="Q1285" i="103"/>
  <c r="O1286" i="103"/>
  <c r="L1286" i="103"/>
  <c r="O1283" i="103"/>
  <c r="Q1283" i="103"/>
  <c r="O1281" i="103"/>
  <c r="Q1275" i="103"/>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c r="O1220" i="103"/>
  <c r="Q1220" i="103"/>
  <c r="P1228" i="103"/>
  <c r="BG1574"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c r="G243" i="103"/>
  <c r="J243"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c r="S256" i="103"/>
  <c r="P256" i="103"/>
  <c r="M256" i="103"/>
  <c r="J256" i="103"/>
  <c r="G256" i="103"/>
  <c r="S255" i="103"/>
  <c r="P255" i="103"/>
  <c r="M255" i="103"/>
  <c r="J255" i="103"/>
  <c r="G255" i="103"/>
  <c r="S247" i="103"/>
  <c r="P247" i="103"/>
  <c r="M247" i="103"/>
  <c r="J247" i="103"/>
  <c r="G247" i="103"/>
  <c r="A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c r="M139" i="103"/>
  <c r="M141" i="103"/>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c r="O26" i="103"/>
  <c r="P25" i="103"/>
  <c r="P24" i="103"/>
  <c r="F26" i="103"/>
  <c r="F25" i="103"/>
  <c r="A1" i="103"/>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c r="J1202" i="103"/>
  <c r="P1195" i="103"/>
  <c r="F1202" i="103"/>
  <c r="P1194" i="103"/>
  <c r="P1163" i="103"/>
  <c r="P1161" i="103"/>
  <c r="B1157" i="103"/>
  <c r="A1152" i="103"/>
  <c r="BI445" i="102"/>
  <c r="BI443" i="102"/>
  <c r="BD445" i="102"/>
  <c r="BD443" i="102"/>
  <c r="BB445" i="102"/>
  <c r="BB443" i="102"/>
  <c r="BB421" i="102"/>
  <c r="M1037" i="103"/>
  <c r="M1036" i="103"/>
  <c r="M1035" i="103"/>
  <c r="K942" i="103"/>
  <c r="I942" i="103"/>
  <c r="E856" i="103"/>
  <c r="A854" i="103"/>
  <c r="H854" i="103"/>
  <c r="A852" i="103"/>
  <c r="A776" i="103"/>
  <c r="A807" i="103"/>
  <c r="A837" i="103"/>
  <c r="A768" i="103"/>
  <c r="A800" i="103"/>
  <c r="A830" i="103"/>
  <c r="A767" i="103"/>
  <c r="A799" i="103"/>
  <c r="A829" i="103"/>
  <c r="A766" i="103"/>
  <c r="A798" i="103"/>
  <c r="A828" i="103"/>
  <c r="A765" i="103"/>
  <c r="A797" i="103"/>
  <c r="A827" i="103"/>
  <c r="A743" i="103"/>
  <c r="A775" i="103"/>
  <c r="A806" i="103"/>
  <c r="A836" i="103"/>
  <c r="A742" i="103"/>
  <c r="A774" i="103"/>
  <c r="A805" i="103"/>
  <c r="A835" i="103"/>
  <c r="A741" i="103"/>
  <c r="A773" i="103"/>
  <c r="A804" i="103"/>
  <c r="A834" i="103"/>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K1600" i="103"/>
  <c r="AL449" i="102"/>
  <c r="AL1600" i="103"/>
  <c r="AM449" i="102"/>
  <c r="AM1600" i="103"/>
  <c r="Q397" i="102"/>
  <c r="Q395" i="102"/>
  <c r="R394" i="102"/>
  <c r="Q367" i="102"/>
  <c r="Q366" i="102"/>
  <c r="AN419" i="102"/>
  <c r="S187" i="78"/>
  <c r="S189" i="78"/>
  <c r="AQ433" i="102"/>
  <c r="AQ1584" i="103"/>
  <c r="AQ432" i="102"/>
  <c r="AQ1583" i="103"/>
  <c r="AQ431" i="102"/>
  <c r="AQ1582" i="103"/>
  <c r="O299" i="102"/>
  <c r="O123" i="102"/>
  <c r="P123" i="102"/>
  <c r="P122" i="102"/>
  <c r="P1273" i="103"/>
  <c r="V176" i="72"/>
  <c r="V177" i="72"/>
  <c r="P1248" i="103"/>
  <c r="O1248" i="103"/>
  <c r="P94" i="102"/>
  <c r="O94" i="102"/>
  <c r="P68" i="102"/>
  <c r="P1219" i="103"/>
  <c r="O68" i="102"/>
  <c r="K171" i="102"/>
  <c r="J68" i="102"/>
  <c r="AQ436" i="102"/>
  <c r="B6" i="102"/>
  <c r="Q387" i="102"/>
  <c r="Q375" i="102"/>
  <c r="L352" i="102"/>
  <c r="P336" i="102"/>
  <c r="P332" i="102"/>
  <c r="BJ442" i="102"/>
  <c r="O336" i="102"/>
  <c r="O332" i="102"/>
  <c r="BB442" i="102"/>
  <c r="Q335" i="102"/>
  <c r="Q334" i="102"/>
  <c r="Q333" i="102"/>
  <c r="P323" i="102"/>
  <c r="BK441" i="102"/>
  <c r="O323" i="102"/>
  <c r="L323" i="102"/>
  <c r="Q316" i="102"/>
  <c r="Q314" i="102"/>
  <c r="L302" i="102"/>
  <c r="M295" i="102"/>
  <c r="M299" i="102"/>
  <c r="M1450" i="103"/>
  <c r="J295" i="102"/>
  <c r="J299" i="102"/>
  <c r="J1450" i="103"/>
  <c r="Q281" i="102"/>
  <c r="L281" i="102"/>
  <c r="P280" i="102"/>
  <c r="O280" i="102"/>
  <c r="O1431" i="103"/>
  <c r="BJ437" i="102"/>
  <c r="Q255" i="102"/>
  <c r="Q254" i="102"/>
  <c r="BC436" i="102"/>
  <c r="Q244" i="102"/>
  <c r="Q241" i="102"/>
  <c r="P233" i="102"/>
  <c r="BL435" i="102"/>
  <c r="O233" i="102"/>
  <c r="BE435" i="102"/>
  <c r="L233" i="102"/>
  <c r="Q224" i="102"/>
  <c r="P215" i="102"/>
  <c r="P1366" i="103"/>
  <c r="O215" i="102"/>
  <c r="L215" i="102"/>
  <c r="P211" i="102"/>
  <c r="P217" i="102"/>
  <c r="P1368" i="103"/>
  <c r="O211" i="102"/>
  <c r="O217" i="102"/>
  <c r="Q217" i="102"/>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c r="J51" i="102"/>
  <c r="P44" i="102"/>
  <c r="F51" i="102"/>
  <c r="P43" i="102"/>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c r="E30" i="102"/>
  <c r="E1181" i="103"/>
  <c r="F29" i="102"/>
  <c r="F1180" i="103"/>
  <c r="E29" i="102"/>
  <c r="E1180" i="103"/>
  <c r="F28" i="102"/>
  <c r="F1179" i="103" s="1"/>
  <c r="F27" i="102"/>
  <c r="F1178" i="103"/>
  <c r="F26" i="102"/>
  <c r="F1177" i="103"/>
  <c r="F25" i="102"/>
  <c r="F1176" i="103"/>
  <c r="E25" i="102"/>
  <c r="E1176" i="103"/>
  <c r="F24" i="102"/>
  <c r="F1175" i="103"/>
  <c r="F23" i="102"/>
  <c r="F1174" i="103"/>
  <c r="F22" i="102"/>
  <c r="F1173" i="103"/>
  <c r="F21" i="102"/>
  <c r="F1172" i="103"/>
  <c r="F20" i="102"/>
  <c r="F1171" i="103"/>
  <c r="E20" i="102"/>
  <c r="E1171" i="103"/>
  <c r="F19" i="102"/>
  <c r="F1170" i="103"/>
  <c r="Q18" i="102"/>
  <c r="Q1169" i="103" s="1"/>
  <c r="F18" i="102"/>
  <c r="F1169" i="103" s="1"/>
  <c r="F17" i="102"/>
  <c r="F1168" i="103"/>
  <c r="F16" i="102"/>
  <c r="F1167" i="103"/>
  <c r="F15" i="102"/>
  <c r="F1166" i="103"/>
  <c r="E15" i="102"/>
  <c r="E1166" i="103"/>
  <c r="F14" i="102"/>
  <c r="F1165" i="103" s="1"/>
  <c r="F13" i="102"/>
  <c r="F1164" i="103"/>
  <c r="P12" i="102"/>
  <c r="P10" i="102"/>
  <c r="BF440" i="102"/>
  <c r="L123" i="102"/>
  <c r="O122" i="102"/>
  <c r="P179" i="102"/>
  <c r="P1245" i="103"/>
  <c r="P86" i="102"/>
  <c r="P1237" i="103"/>
  <c r="O1245" i="103"/>
  <c r="O86" i="102"/>
  <c r="O1237" i="103"/>
  <c r="AY1575" i="103"/>
  <c r="O1219" i="103"/>
  <c r="O66" i="102"/>
  <c r="O1217" i="103"/>
  <c r="P66" i="102"/>
  <c r="P1217" i="103"/>
  <c r="BG1573" i="103"/>
  <c r="BB447" i="102"/>
  <c r="BJ439" i="102"/>
  <c r="P1431" i="103"/>
  <c r="M302" i="103"/>
  <c r="AI449" i="102"/>
  <c r="AI1600" i="103"/>
  <c r="AJ449" i="102"/>
  <c r="AJ1600" i="103"/>
  <c r="E21" i="102"/>
  <c r="E1172" i="103"/>
  <c r="O1351" i="103"/>
  <c r="E34" i="102"/>
  <c r="C1187" i="103"/>
  <c r="R312" i="102"/>
  <c r="O1463" i="103"/>
  <c r="AY1591" i="103"/>
  <c r="BF432" i="102"/>
  <c r="P1351" i="103"/>
  <c r="BF1583"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c r="BA1594" i="103"/>
  <c r="P1384" i="103"/>
  <c r="BJ1586" i="103"/>
  <c r="BB446" i="102"/>
  <c r="BB1594" i="103"/>
  <c r="BD442" i="102"/>
  <c r="P1404" i="103"/>
  <c r="BF1587" i="103"/>
  <c r="BI435" i="102"/>
  <c r="P1374" i="103"/>
  <c r="BI1585" i="103"/>
  <c r="O1474" i="103"/>
  <c r="BC1592" i="103"/>
  <c r="BI441" i="102"/>
  <c r="BI447" i="102"/>
  <c r="O1384" i="103"/>
  <c r="BE1586" i="103"/>
  <c r="P1474" i="103"/>
  <c r="BK1592" i="103"/>
  <c r="BE1594" i="103"/>
  <c r="O1322" i="103"/>
  <c r="R1322" i="103"/>
  <c r="O1362" i="103"/>
  <c r="O1368" i="103"/>
  <c r="Q1368" i="103"/>
  <c r="P1303" i="103"/>
  <c r="BF1579" i="103"/>
  <c r="P1483" i="103"/>
  <c r="BI1593" i="103"/>
  <c r="BI442" i="102"/>
  <c r="L374" i="102"/>
  <c r="BC1594" i="103"/>
  <c r="P1322" i="103"/>
  <c r="BF1580" i="103"/>
  <c r="P1362" i="103"/>
  <c r="M1332" i="103"/>
  <c r="BI439" i="102"/>
  <c r="O1303" i="103"/>
  <c r="AZ1579" i="103"/>
  <c r="O1366" i="103"/>
  <c r="L1366" i="103"/>
  <c r="O1404" i="103"/>
  <c r="AY1587" i="103"/>
  <c r="O1483" i="103"/>
  <c r="BE1593" i="103"/>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c r="Q632" i="103"/>
  <c r="M632" i="103"/>
  <c r="I632" i="103"/>
  <c r="I636" i="103"/>
  <c r="I641" i="103"/>
  <c r="M641" i="103"/>
  <c r="Q641" i="103"/>
  <c r="K645" i="103"/>
  <c r="I650" i="103"/>
  <c r="Q650" i="103"/>
  <c r="M654" i="103"/>
  <c r="Q654" i="103"/>
  <c r="K659" i="103"/>
  <c r="F674" i="103"/>
  <c r="O1274" i="103"/>
  <c r="L1274" i="103"/>
  <c r="E1340" i="103"/>
  <c r="Q1286" i="103"/>
  <c r="AY1582" i="103"/>
  <c r="P154" i="103"/>
  <c r="M149" i="103"/>
  <c r="G186" i="103"/>
  <c r="J186" i="103"/>
  <c r="M186" i="103"/>
  <c r="S186" i="103"/>
  <c r="G233" i="103"/>
  <c r="J272" i="103"/>
  <c r="J276" i="103"/>
  <c r="L464" i="103"/>
  <c r="M464" i="103"/>
  <c r="L463" i="103"/>
  <c r="M463" i="103"/>
  <c r="L461" i="103"/>
  <c r="M461" i="103"/>
  <c r="L460" i="103"/>
  <c r="M460" i="103"/>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c r="AZ428" i="102"/>
  <c r="BD436" i="102"/>
  <c r="BA441" i="102"/>
  <c r="BC441" i="102"/>
  <c r="BA435" i="102"/>
  <c r="BK437" i="102"/>
  <c r="AY441" i="102"/>
  <c r="BD441" i="102"/>
  <c r="BF423" i="102"/>
  <c r="BF439" i="102"/>
  <c r="AZ441" i="102"/>
  <c r="BE441" i="102"/>
  <c r="E18" i="102"/>
  <c r="E1169" i="103"/>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c r="BF441" i="102"/>
  <c r="AY429" i="102"/>
  <c r="BC435" i="102"/>
  <c r="BE436" i="102"/>
  <c r="BL437" i="102"/>
  <c r="BG439" i="102"/>
  <c r="BL439" i="102"/>
  <c r="BF442" i="102"/>
  <c r="E23" i="102"/>
  <c r="E1174" i="103"/>
  <c r="AY435" i="102"/>
  <c r="BD435" i="102"/>
  <c r="AY436" i="102"/>
  <c r="BF437" i="102"/>
  <c r="BH439" i="102"/>
  <c r="AY440" i="102"/>
  <c r="BK442" i="102"/>
  <c r="Q123" i="102"/>
  <c r="P210" i="102"/>
  <c r="P1361" i="103"/>
  <c r="AZ435" i="102"/>
  <c r="BG422" i="102"/>
  <c r="BE442" i="102"/>
  <c r="AZ442" i="102"/>
  <c r="E28" i="102"/>
  <c r="E1179" i="103"/>
  <c r="BA442" i="102"/>
  <c r="AY442" i="102"/>
  <c r="BC442" i="102"/>
  <c r="P40" i="102"/>
  <c r="P42" i="102"/>
  <c r="E13" i="102"/>
  <c r="E1164" i="103"/>
  <c r="BG442" i="102"/>
  <c r="BL442" i="102"/>
  <c r="O1187" i="103"/>
  <c r="E27" i="102"/>
  <c r="E1178" i="103"/>
  <c r="AQ422" i="102"/>
  <c r="BH442" i="102"/>
  <c r="Q215" i="102"/>
  <c r="Q336" i="102"/>
  <c r="O210" i="102"/>
  <c r="O1273" i="103"/>
  <c r="O179" i="102"/>
  <c r="O404" i="102"/>
  <c r="O1555" i="103"/>
  <c r="BI421" i="102"/>
  <c r="P1191" i="103"/>
  <c r="BB433" i="102"/>
  <c r="BB449" i="102"/>
  <c r="BB1600" i="103"/>
  <c r="O1361" i="103"/>
  <c r="P404" i="102"/>
  <c r="P1555" i="103"/>
  <c r="BK1585" i="103"/>
  <c r="BC1586" i="103"/>
  <c r="BA1586" i="103"/>
  <c r="BJ1585" i="103"/>
  <c r="AY1586" i="103"/>
  <c r="BD1586" i="103"/>
  <c r="BF1585" i="103"/>
  <c r="BB1586" i="103"/>
  <c r="AZ1586" i="103"/>
  <c r="EM496" i="103"/>
  <c r="O604" i="103"/>
  <c r="HN496" i="103"/>
  <c r="N566" i="103"/>
  <c r="IC496" i="103"/>
  <c r="BE1592" i="103"/>
  <c r="BG1586" i="103"/>
  <c r="BK1586" i="103"/>
  <c r="BC1587" i="103"/>
  <c r="KF496" i="103"/>
  <c r="N576" i="103"/>
  <c r="LJ496" i="103"/>
  <c r="HG496" i="103"/>
  <c r="EL496" i="103"/>
  <c r="N604" i="103"/>
  <c r="C162" i="103"/>
  <c r="F168" i="103"/>
  <c r="EW496" i="103"/>
  <c r="O606" i="103"/>
  <c r="BL1586" i="103"/>
  <c r="BE1590" i="103"/>
  <c r="BF1586" i="103"/>
  <c r="BI1586" i="103"/>
  <c r="BB496" i="103"/>
  <c r="K509" i="103"/>
  <c r="AB496" i="103"/>
  <c r="O503" i="103"/>
  <c r="FP496" i="103"/>
  <c r="N610" i="103"/>
  <c r="AY1574" i="103"/>
  <c r="E153" i="103"/>
  <c r="G156" i="103"/>
  <c r="AH496" i="103"/>
  <c r="K505" i="103"/>
  <c r="E151" i="103"/>
  <c r="E152" i="103"/>
  <c r="L1303" i="103"/>
  <c r="LW496" i="103"/>
  <c r="LG496" i="103"/>
  <c r="Z496" i="103"/>
  <c r="M503" i="103"/>
  <c r="HT496" i="103"/>
  <c r="O567" i="103"/>
  <c r="GZ496" i="103"/>
  <c r="O563" i="103"/>
  <c r="EZ496" i="103"/>
  <c r="M607" i="103"/>
  <c r="EJ496" i="103"/>
  <c r="L604" i="103"/>
  <c r="AZ496" i="103"/>
  <c r="N508" i="103"/>
  <c r="HJ496" i="103"/>
  <c r="FQ496" i="103"/>
  <c r="O610" i="103"/>
  <c r="EK496" i="103"/>
  <c r="M604" i="103"/>
  <c r="EO496" i="103"/>
  <c r="L605" i="103"/>
  <c r="BK496" i="103"/>
  <c r="O511" i="103"/>
  <c r="AU496" i="103"/>
  <c r="N507" i="103"/>
  <c r="AE496" i="103"/>
  <c r="M504" i="103"/>
  <c r="HW496" i="103"/>
  <c r="GQ496" i="103"/>
  <c r="FS496" i="103"/>
  <c r="L612" i="103"/>
  <c r="FC496" i="103"/>
  <c r="K608" i="103"/>
  <c r="GC496" i="103"/>
  <c r="L614" i="103"/>
  <c r="EX496" i="103"/>
  <c r="K607" i="103"/>
  <c r="GD496" i="103"/>
  <c r="M614" i="103"/>
  <c r="AW496" i="103"/>
  <c r="K508" i="103"/>
  <c r="LN496" i="103"/>
  <c r="AC496" i="103"/>
  <c r="K504" i="103"/>
  <c r="HY496" i="103"/>
  <c r="BA496" i="103"/>
  <c r="O508" i="103"/>
  <c r="GP496" i="103"/>
  <c r="O561" i="103"/>
  <c r="LX496" i="103"/>
  <c r="GF496" i="103"/>
  <c r="O614" i="103"/>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I449" i="102"/>
  <c r="BI1600" i="103"/>
  <c r="BD1597" i="103"/>
  <c r="FR496" i="103"/>
  <c r="K612" i="103"/>
  <c r="BC1597" i="103"/>
  <c r="AN496" i="103"/>
  <c r="L506" i="103"/>
  <c r="JP496" i="103"/>
  <c r="M586" i="103"/>
  <c r="M597" i="103"/>
  <c r="S259" i="103"/>
  <c r="BE1597" i="103"/>
  <c r="P259" i="103"/>
  <c r="P275" i="103"/>
  <c r="P277" i="103"/>
  <c r="P279" i="103"/>
  <c r="X496" i="103"/>
  <c r="K503" i="103"/>
  <c r="AZ1577" i="103"/>
  <c r="L1516" i="103"/>
  <c r="BA1597" i="103"/>
  <c r="Q1274" i="103"/>
  <c r="AB240" i="103"/>
  <c r="HQ496" i="103"/>
  <c r="L567" i="103"/>
  <c r="AQ496" i="103"/>
  <c r="O506" i="103"/>
  <c r="FO496" i="103"/>
  <c r="M610" i="103"/>
  <c r="EI496" i="103"/>
  <c r="K604" i="103"/>
  <c r="Y496" i="103"/>
  <c r="L503" i="103"/>
  <c r="HV496" i="103"/>
  <c r="AD496" i="103"/>
  <c r="L504" i="103"/>
  <c r="LS496" i="103"/>
  <c r="AS496" i="103"/>
  <c r="L507" i="103"/>
  <c r="ED496" i="103"/>
  <c r="K513" i="103"/>
  <c r="HP496" i="103"/>
  <c r="K567" i="103"/>
  <c r="GJ496" i="103"/>
  <c r="N560" i="103"/>
  <c r="AP496" i="103"/>
  <c r="N506" i="103"/>
  <c r="EA496" i="103"/>
  <c r="M551" i="103"/>
  <c r="FG496" i="103"/>
  <c r="O608" i="103"/>
  <c r="EQ496" i="103"/>
  <c r="N605" i="103"/>
  <c r="AX496" i="103"/>
  <c r="L508" i="103"/>
  <c r="IB496" i="103"/>
  <c r="GB496" i="103"/>
  <c r="K614" i="103"/>
  <c r="BD496" i="103"/>
  <c r="M509" i="103"/>
  <c r="LH496" i="103"/>
  <c r="FL496" i="103"/>
  <c r="O609" i="103"/>
  <c r="EV496" i="103"/>
  <c r="N606" i="103"/>
  <c r="EF496" i="103"/>
  <c r="M513" i="103"/>
  <c r="AV496" i="103"/>
  <c r="O507" i="103"/>
  <c r="AF496" i="103"/>
  <c r="N504" i="103"/>
  <c r="EG496" i="103"/>
  <c r="N513" i="103"/>
  <c r="FV496" i="103"/>
  <c r="O612" i="103"/>
  <c r="EP496" i="103"/>
  <c r="M605" i="103"/>
  <c r="LL496" i="103"/>
  <c r="GR496" i="103"/>
  <c r="LP496" i="103"/>
  <c r="HB496" i="103"/>
  <c r="L564" i="103"/>
  <c r="ET496" i="103"/>
  <c r="L606" i="103"/>
  <c r="AR496" i="103"/>
  <c r="K507" i="103"/>
  <c r="LQ496" i="103"/>
  <c r="GW496" i="103"/>
  <c r="L563" i="103"/>
  <c r="ES496" i="103"/>
  <c r="K606" i="103"/>
  <c r="BI496" i="103"/>
  <c r="M511" i="103"/>
  <c r="HR496" i="103"/>
  <c r="M567" i="103"/>
  <c r="GL496" i="103"/>
  <c r="K561" i="103"/>
  <c r="LZ496" i="103"/>
  <c r="HF496" i="103"/>
  <c r="FJ496" i="103"/>
  <c r="M609" i="103"/>
  <c r="ID496" i="103"/>
  <c r="GM496" i="103"/>
  <c r="L561" i="103"/>
  <c r="HC496" i="103"/>
  <c r="M564" i="103"/>
  <c r="HS496" i="103"/>
  <c r="N567" i="103"/>
  <c r="HM496" i="103"/>
  <c r="M566" i="103"/>
  <c r="FI496" i="103"/>
  <c r="L609" i="103"/>
  <c r="GH496" i="103"/>
  <c r="L560" i="103"/>
  <c r="FU496" i="103"/>
  <c r="N612" i="103"/>
  <c r="AA496" i="103"/>
  <c r="N503" i="103"/>
  <c r="BG496" i="103"/>
  <c r="K511" i="103"/>
  <c r="EY496" i="103"/>
  <c r="L607" i="103"/>
  <c r="AK496" i="103"/>
  <c r="N505" i="103"/>
  <c r="EH496" i="103"/>
  <c r="O513" i="103"/>
  <c r="GG496" i="103"/>
  <c r="K560" i="103"/>
  <c r="FF496" i="103"/>
  <c r="N608" i="103"/>
  <c r="IA496" i="103"/>
  <c r="HK496" i="103"/>
  <c r="K566" i="103"/>
  <c r="GU496" i="103"/>
  <c r="GE496" i="103"/>
  <c r="N614" i="103"/>
  <c r="ME496" i="103"/>
  <c r="LO496" i="103"/>
  <c r="BC496" i="103"/>
  <c r="L509" i="103"/>
  <c r="AM496" i="103"/>
  <c r="K506" i="103"/>
  <c r="FN496" i="103"/>
  <c r="L610" i="103"/>
  <c r="FE496" i="103"/>
  <c r="M608" i="103"/>
  <c r="MD496" i="103"/>
  <c r="AT496" i="103"/>
  <c r="M507" i="103"/>
  <c r="BR496" i="103"/>
  <c r="L545" i="103"/>
  <c r="KM496" i="103"/>
  <c r="K579" i="103"/>
  <c r="M259" i="103"/>
  <c r="M275" i="103"/>
  <c r="M277" i="103"/>
  <c r="M279" i="103"/>
  <c r="G259" i="103"/>
  <c r="J289" i="103"/>
  <c r="BJ496" i="103"/>
  <c r="N511" i="103"/>
  <c r="FX496" i="103"/>
  <c r="AJ496" i="103"/>
  <c r="M505" i="103"/>
  <c r="HX496" i="103"/>
  <c r="HH496" i="103"/>
  <c r="FH496" i="103"/>
  <c r="K609" i="103"/>
  <c r="ER496" i="103"/>
  <c r="O605" i="103"/>
  <c r="BH496" i="103"/>
  <c r="L511" i="103"/>
  <c r="EN496" i="103"/>
  <c r="K605" i="103"/>
  <c r="GN496" i="103"/>
  <c r="M561" i="103"/>
  <c r="HZ496" i="103"/>
  <c r="GT496" i="103"/>
  <c r="LI496" i="103"/>
  <c r="FA496" i="103"/>
  <c r="N607" i="103"/>
  <c r="LR496" i="103"/>
  <c r="GX496" i="103"/>
  <c r="M563" i="103"/>
  <c r="FB496" i="103"/>
  <c r="O607" i="103"/>
  <c r="BF496" i="103"/>
  <c r="O509" i="103"/>
  <c r="GK496" i="103"/>
  <c r="O560" i="103"/>
  <c r="LM496" i="103"/>
  <c r="FM496" i="103"/>
  <c r="K610" i="103"/>
  <c r="BE496" i="103"/>
  <c r="N509" i="103"/>
  <c r="AG496" i="103"/>
  <c r="O504" i="103"/>
  <c r="MA496" i="103"/>
  <c r="LK496" i="103"/>
  <c r="HO496" i="103"/>
  <c r="O566" i="103"/>
  <c r="GY496" i="103"/>
  <c r="N563" i="103"/>
  <c r="GI496" i="103"/>
  <c r="M560" i="103"/>
  <c r="FK496" i="103"/>
  <c r="N609" i="103"/>
  <c r="EU496" i="103"/>
  <c r="M606" i="103"/>
  <c r="EE496" i="103"/>
  <c r="L513" i="103"/>
  <c r="AY496" i="103"/>
  <c r="M508" i="103"/>
  <c r="AI496" i="103"/>
  <c r="L505" i="103"/>
  <c r="MB496" i="103"/>
  <c r="FT496" i="103"/>
  <c r="M612" i="103"/>
  <c r="FD496" i="103"/>
  <c r="L608" i="103"/>
  <c r="LU496" i="103"/>
  <c r="HA496" i="103"/>
  <c r="K564" i="103"/>
  <c r="AO496" i="103"/>
  <c r="M506" i="103"/>
  <c r="AL496" i="103"/>
  <c r="O505" i="103"/>
  <c r="HD496" i="103"/>
  <c r="N564" i="103"/>
  <c r="DN496" i="103"/>
  <c r="O554" i="103"/>
  <c r="IX496" i="103"/>
  <c r="O590" i="103"/>
  <c r="JW496" i="103"/>
  <c r="O575" i="103"/>
  <c r="BA1590" i="103"/>
  <c r="CU496" i="103"/>
  <c r="K557" i="103"/>
  <c r="BO496" i="103"/>
  <c r="N546" i="103"/>
  <c r="DJ496" i="103"/>
  <c r="K554" i="103"/>
  <c r="CD496" i="103"/>
  <c r="N543" i="103"/>
  <c r="CE496" i="103"/>
  <c r="O543" i="103"/>
  <c r="BS496" i="103"/>
  <c r="M545" i="103"/>
  <c r="CH496" i="103"/>
  <c r="M542" i="103"/>
  <c r="DM496" i="103"/>
  <c r="N554" i="103"/>
  <c r="CC496" i="103"/>
  <c r="M543" i="103"/>
  <c r="CS496" i="103"/>
  <c r="N540" i="103"/>
  <c r="BZ496" i="103"/>
  <c r="O544" i="103"/>
  <c r="DF496" i="103"/>
  <c r="L555" i="103"/>
  <c r="DV496" i="103"/>
  <c r="M552" i="103"/>
  <c r="CZ496" i="103"/>
  <c r="K556" i="103"/>
  <c r="BT496" i="103"/>
  <c r="N545" i="103"/>
  <c r="DQ496" i="103"/>
  <c r="M553" i="103"/>
  <c r="CK496" i="103"/>
  <c r="K541" i="103"/>
  <c r="DK496" i="103"/>
  <c r="L554" i="103"/>
  <c r="DG496" i="103"/>
  <c r="M555" i="103"/>
  <c r="CI496" i="103"/>
  <c r="N542" i="103"/>
  <c r="BX496" i="103"/>
  <c r="M544" i="103"/>
  <c r="CN496" i="103"/>
  <c r="N541" i="103"/>
  <c r="DD496" i="103"/>
  <c r="O556" i="103"/>
  <c r="DT496" i="103"/>
  <c r="K552" i="103"/>
  <c r="CB496" i="103"/>
  <c r="L543" i="103"/>
  <c r="BU496" i="103"/>
  <c r="O545" i="103"/>
  <c r="FY496" i="103"/>
  <c r="DP496" i="103"/>
  <c r="L553" i="103"/>
  <c r="BV496" i="103"/>
  <c r="K544" i="103"/>
  <c r="CL496" i="103"/>
  <c r="L541" i="103"/>
  <c r="DB496" i="103"/>
  <c r="M556" i="103"/>
  <c r="DR496" i="103"/>
  <c r="N553" i="103"/>
  <c r="CT496" i="103"/>
  <c r="O540" i="103"/>
  <c r="DY496" i="103"/>
  <c r="K551" i="103"/>
  <c r="DI496" i="103"/>
  <c r="O555" i="103"/>
  <c r="EB496" i="103"/>
  <c r="N551" i="103"/>
  <c r="DL496" i="103"/>
  <c r="M554" i="103"/>
  <c r="CV496" i="103"/>
  <c r="L557" i="103"/>
  <c r="BP496" i="103"/>
  <c r="O546" i="103"/>
  <c r="FZ496" i="103"/>
  <c r="GA496" i="103"/>
  <c r="CM496" i="103"/>
  <c r="M541" i="103"/>
  <c r="BY496" i="103"/>
  <c r="N544" i="103"/>
  <c r="CO496" i="103"/>
  <c r="O541" i="103"/>
  <c r="DE496" i="103"/>
  <c r="K555" i="103"/>
  <c r="DU496" i="103"/>
  <c r="L552" i="103"/>
  <c r="LY496" i="103"/>
  <c r="HU496" i="103"/>
  <c r="HE496" i="103"/>
  <c r="O564" i="103"/>
  <c r="GO496" i="103"/>
  <c r="N561" i="103"/>
  <c r="LV496" i="103"/>
  <c r="LT496" i="103"/>
  <c r="HL496" i="103"/>
  <c r="L566" i="103"/>
  <c r="GV496" i="103"/>
  <c r="K563" i="103"/>
  <c r="MC496" i="103"/>
  <c r="HI496" i="103"/>
  <c r="GS496" i="103"/>
  <c r="JI496" i="103"/>
  <c r="K585" i="103"/>
  <c r="K596" i="103"/>
  <c r="LB496" i="103"/>
  <c r="K582" i="103"/>
  <c r="KL496" i="103"/>
  <c r="O578" i="103"/>
  <c r="JF496" i="103"/>
  <c r="M588" i="103"/>
  <c r="IP496" i="103"/>
  <c r="L589" i="103"/>
  <c r="JB496" i="103"/>
  <c r="N587" i="103"/>
  <c r="KS496" i="103"/>
  <c r="L581" i="103"/>
  <c r="KC496" i="103"/>
  <c r="K576" i="103"/>
  <c r="JM496" i="103"/>
  <c r="O585" i="103"/>
  <c r="O596" i="103"/>
  <c r="IW496" i="103"/>
  <c r="N590" i="103"/>
  <c r="IG496" i="103"/>
  <c r="M583" i="103"/>
  <c r="KO496" i="103"/>
  <c r="M579" i="103"/>
  <c r="JY496" i="103"/>
  <c r="L577" i="103"/>
  <c r="LE496" i="103"/>
  <c r="N582" i="103"/>
  <c r="KW496" i="103"/>
  <c r="K580" i="103"/>
  <c r="KG496" i="103"/>
  <c r="O576" i="103"/>
  <c r="JQ496" i="103"/>
  <c r="N586" i="103"/>
  <c r="N597" i="103"/>
  <c r="JA496" i="103"/>
  <c r="M587" i="103"/>
  <c r="IK496" i="103"/>
  <c r="L584" i="103"/>
  <c r="KU496" i="103"/>
  <c r="N581" i="103"/>
  <c r="JO496" i="103"/>
  <c r="L586" i="103"/>
  <c r="L597" i="103"/>
  <c r="IY496" i="103"/>
  <c r="K587" i="103"/>
  <c r="II496" i="103"/>
  <c r="O583" i="103"/>
  <c r="KJ496" i="103"/>
  <c r="M578" i="103"/>
  <c r="JT496" i="103"/>
  <c r="L575" i="103"/>
  <c r="JD496" i="103"/>
  <c r="K588" i="103"/>
  <c r="KV496" i="103"/>
  <c r="O581" i="103"/>
  <c r="IJ496" i="103"/>
  <c r="K584" i="103"/>
  <c r="JZ496" i="103"/>
  <c r="M577" i="103"/>
  <c r="LC496" i="103"/>
  <c r="L582" i="103"/>
  <c r="JG496" i="103"/>
  <c r="N588" i="103"/>
  <c r="IQ496" i="103"/>
  <c r="M589" i="103"/>
  <c r="KT496" i="103"/>
  <c r="M581" i="103"/>
  <c r="IH496" i="103"/>
  <c r="N583" i="103"/>
  <c r="IZ496" i="103"/>
  <c r="L587" i="103"/>
  <c r="CX496" i="103"/>
  <c r="N557" i="103"/>
  <c r="AY1583" i="103"/>
  <c r="BB1590" i="103"/>
  <c r="BD1590" i="103"/>
  <c r="BF1575" i="103"/>
  <c r="AZ1575" i="103"/>
  <c r="MJ496" i="103"/>
  <c r="JV496" i="103"/>
  <c r="N575" i="103"/>
  <c r="KX496" i="103"/>
  <c r="L580" i="103"/>
  <c r="JR496" i="103"/>
  <c r="O586" i="103"/>
  <c r="O597" i="103"/>
  <c r="KB496" i="103"/>
  <c r="O577" i="103"/>
  <c r="JL496" i="103"/>
  <c r="N585" i="103"/>
  <c r="N596" i="103"/>
  <c r="IV496" i="103"/>
  <c r="M590" i="103"/>
  <c r="IF496" i="103"/>
  <c r="L583" i="103"/>
  <c r="IS496" i="103"/>
  <c r="O589" i="103"/>
  <c r="KE496" i="103"/>
  <c r="M576" i="103"/>
  <c r="KI496" i="103"/>
  <c r="L578" i="103"/>
  <c r="JS496" i="103"/>
  <c r="K575" i="103"/>
  <c r="LD496" i="103"/>
  <c r="M582" i="103"/>
  <c r="JX496" i="103"/>
  <c r="K577" i="103"/>
  <c r="JH496" i="103"/>
  <c r="O588" i="103"/>
  <c r="LA496" i="103"/>
  <c r="O580" i="103"/>
  <c r="KK496" i="103"/>
  <c r="N578" i="103"/>
  <c r="JU496" i="103"/>
  <c r="M575" i="103"/>
  <c r="JE496" i="103"/>
  <c r="L588" i="103"/>
  <c r="IO496" i="103"/>
  <c r="K589" i="103"/>
  <c r="LF496" i="103"/>
  <c r="O582" i="103"/>
  <c r="KP496" i="103"/>
  <c r="N579" i="103"/>
  <c r="JJ496" i="103"/>
  <c r="L585" i="103"/>
  <c r="L596" i="103"/>
  <c r="IT496" i="103"/>
  <c r="K590" i="103"/>
  <c r="KD496" i="103"/>
  <c r="L576" i="103"/>
  <c r="JN496" i="103"/>
  <c r="K586" i="103"/>
  <c r="K597" i="103"/>
  <c r="KQ496" i="103"/>
  <c r="O579" i="103"/>
  <c r="KA496" i="103"/>
  <c r="N577" i="103"/>
  <c r="JK496" i="103"/>
  <c r="M585" i="103"/>
  <c r="M596" i="103"/>
  <c r="IU496" i="103"/>
  <c r="L590" i="103"/>
  <c r="IE496" i="103"/>
  <c r="K583" i="103"/>
  <c r="DW496" i="103"/>
  <c r="N552" i="103"/>
  <c r="BB1593" i="103"/>
  <c r="MT496" i="103"/>
  <c r="MP496" i="103"/>
  <c r="KH496" i="103"/>
  <c r="K578" i="103"/>
  <c r="IL496" i="103"/>
  <c r="M584" i="103"/>
  <c r="KR496" i="103"/>
  <c r="K581" i="103"/>
  <c r="KZ496" i="103"/>
  <c r="N580" i="103"/>
  <c r="IN496" i="103"/>
  <c r="O584" i="103"/>
  <c r="KY496" i="103"/>
  <c r="M580" i="103"/>
  <c r="JC496" i="103"/>
  <c r="O587" i="103"/>
  <c r="IM496" i="103"/>
  <c r="N584" i="103"/>
  <c r="KN496" i="103"/>
  <c r="L579" i="103"/>
  <c r="IR496" i="103"/>
  <c r="N589" i="103"/>
  <c r="BD1593" i="103"/>
  <c r="AB237" i="103"/>
  <c r="CQ496" i="103"/>
  <c r="L540" i="103"/>
  <c r="FW496" i="103"/>
  <c r="BM496" i="103"/>
  <c r="L546" i="103"/>
  <c r="CR496" i="103"/>
  <c r="M540" i="103"/>
  <c r="CG496" i="103"/>
  <c r="L542" i="103"/>
  <c r="EC496" i="103"/>
  <c r="O551" i="103"/>
  <c r="DC496" i="103"/>
  <c r="N556" i="103"/>
  <c r="BN496" i="103"/>
  <c r="M546" i="103"/>
  <c r="CY496" i="103"/>
  <c r="O557" i="103"/>
  <c r="DA496" i="103"/>
  <c r="L556" i="103"/>
  <c r="CJ496" i="103"/>
  <c r="O542" i="103"/>
  <c r="DH496" i="103"/>
  <c r="N555" i="103"/>
  <c r="BQ496" i="103"/>
  <c r="K545" i="103"/>
  <c r="DO496" i="103"/>
  <c r="K553" i="103"/>
  <c r="CP496" i="103"/>
  <c r="K540" i="103"/>
  <c r="CF496" i="103"/>
  <c r="K542" i="103"/>
  <c r="DX496" i="103"/>
  <c r="O552" i="103"/>
  <c r="BL496" i="103"/>
  <c r="K546" i="103"/>
  <c r="CW496" i="103"/>
  <c r="M557" i="103"/>
  <c r="CA496" i="103"/>
  <c r="K543" i="103"/>
  <c r="DS496" i="103"/>
  <c r="O553" i="103"/>
  <c r="BW496" i="103"/>
  <c r="L544" i="103"/>
  <c r="DZ496" i="103"/>
  <c r="L551" i="103"/>
  <c r="MK496" i="103"/>
  <c r="ML496" i="103"/>
  <c r="MR496" i="103"/>
  <c r="MG496" i="103"/>
  <c r="MI496" i="103"/>
  <c r="MQ496" i="103"/>
  <c r="MS496" i="103"/>
  <c r="MN496" i="103"/>
  <c r="MH496" i="103"/>
  <c r="A496" i="103"/>
  <c r="A453" i="103"/>
  <c r="MF496" i="103"/>
  <c r="MM496" i="103"/>
  <c r="MO496" i="103"/>
  <c r="J259" i="103"/>
  <c r="J275" i="103"/>
  <c r="J277" i="103"/>
  <c r="J279"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c r="O1330" i="103"/>
  <c r="AZ426" i="102"/>
  <c r="AY426" i="102"/>
  <c r="BK433" i="102"/>
  <c r="BG433" i="102"/>
  <c r="BL433" i="102"/>
  <c r="BG424" i="102"/>
  <c r="E22" i="102"/>
  <c r="E1173" i="103"/>
  <c r="AY434" i="102"/>
  <c r="BF422" i="102"/>
  <c r="AY422" i="102"/>
  <c r="AZ422" i="102"/>
  <c r="AY424" i="102"/>
  <c r="E14" i="102"/>
  <c r="E1165" i="103"/>
  <c r="AZ424" i="102"/>
  <c r="BJ421" i="102"/>
  <c r="BK421" i="102"/>
  <c r="BH421" i="102"/>
  <c r="BH449" i="102"/>
  <c r="BH1600" i="103"/>
  <c r="BL421" i="102"/>
  <c r="BF421" i="102"/>
  <c r="BG421" i="102"/>
  <c r="BA433" i="102"/>
  <c r="BA449" i="102"/>
  <c r="BA1600" i="103"/>
  <c r="BE433" i="102"/>
  <c r="BE449" i="102"/>
  <c r="BE1600" i="103"/>
  <c r="AZ433" i="102"/>
  <c r="BD433" i="102"/>
  <c r="BD449" i="102"/>
  <c r="BD1600" i="103"/>
  <c r="AY433" i="102"/>
  <c r="BC433" i="102"/>
  <c r="BC449" i="102"/>
  <c r="BC1600" i="103"/>
  <c r="M77" i="102"/>
  <c r="M404" i="102"/>
  <c r="BG449" i="102"/>
  <c r="BG1600" i="103"/>
  <c r="L598" i="103"/>
  <c r="K600" i="103"/>
  <c r="B171" i="103"/>
  <c r="P1157" i="103"/>
  <c r="O565" i="103"/>
  <c r="M598" i="103"/>
  <c r="O600" i="103"/>
  <c r="K601" i="103"/>
  <c r="K595" i="103"/>
  <c r="O599" i="103"/>
  <c r="K598" i="103"/>
  <c r="P608" i="103"/>
  <c r="K562" i="103"/>
  <c r="M562" i="103"/>
  <c r="L562" i="103"/>
  <c r="K565" i="103"/>
  <c r="P504" i="103"/>
  <c r="Q605" i="103"/>
  <c r="M510" i="103"/>
  <c r="M512" i="103"/>
  <c r="M514" i="103"/>
  <c r="M532" i="103"/>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c r="P560" i="103"/>
  <c r="P604" i="103"/>
  <c r="P561" i="103"/>
  <c r="P508" i="103"/>
  <c r="Q609" i="103"/>
  <c r="O601" i="103"/>
  <c r="O594" i="103"/>
  <c r="M599" i="103"/>
  <c r="P567" i="103"/>
  <c r="K611" i="103"/>
  <c r="K613" i="103"/>
  <c r="BC1584" i="103"/>
  <c r="N562" i="103"/>
  <c r="N558" i="103"/>
  <c r="P584" i="103"/>
  <c r="O572" i="103"/>
  <c r="M595" i="103"/>
  <c r="P581" i="103"/>
  <c r="M600" i="103"/>
  <c r="P575" i="103"/>
  <c r="L600" i="103"/>
  <c r="P589" i="103"/>
  <c r="M547" i="103"/>
  <c r="P551" i="103"/>
  <c r="P541" i="103"/>
  <c r="P556" i="103"/>
  <c r="N547" i="103"/>
  <c r="N565" i="103"/>
  <c r="O510" i="103"/>
  <c r="O512" i="103"/>
  <c r="O514" i="103"/>
  <c r="O526" i="103"/>
  <c r="P605" i="103"/>
  <c r="P505" i="103"/>
  <c r="P509" i="103"/>
  <c r="Q610" i="103"/>
  <c r="O562" i="103"/>
  <c r="P511" i="103"/>
  <c r="P609" i="103"/>
  <c r="P606" i="103"/>
  <c r="L611" i="103"/>
  <c r="L613" i="103"/>
  <c r="L615" i="103"/>
  <c r="N510" i="103"/>
  <c r="N512" i="103"/>
  <c r="N514" i="103"/>
  <c r="N532" i="103"/>
  <c r="L568" i="103"/>
  <c r="K510" i="103"/>
  <c r="K512" i="103"/>
  <c r="O568" i="103"/>
  <c r="P614" i="103"/>
  <c r="P612" i="103"/>
  <c r="P507" i="103"/>
  <c r="Q608" i="103"/>
  <c r="P610" i="103"/>
  <c r="M611" i="103"/>
  <c r="M613" i="103"/>
  <c r="M615" i="103"/>
  <c r="E154" i="103"/>
  <c r="G150" i="103"/>
  <c r="L594" i="103"/>
  <c r="O547" i="103"/>
  <c r="AY1584" i="103"/>
  <c r="P583" i="103"/>
  <c r="P588" i="103"/>
  <c r="P553" i="103"/>
  <c r="K599" i="103"/>
  <c r="P580" i="103"/>
  <c r="O611" i="103"/>
  <c r="O613" i="103"/>
  <c r="O615" i="103"/>
  <c r="L510" i="103"/>
  <c r="L512" i="103"/>
  <c r="L514" i="103"/>
  <c r="P590" i="103"/>
  <c r="P578" i="103"/>
  <c r="K574" i="103"/>
  <c r="L595" i="103"/>
  <c r="P597" i="103"/>
  <c r="P577" i="103"/>
  <c r="M572" i="103"/>
  <c r="N598" i="103"/>
  <c r="O574" i="103"/>
  <c r="P579" i="103"/>
  <c r="M558" i="103"/>
  <c r="P503" i="103"/>
  <c r="Q604" i="103"/>
  <c r="P607" i="103"/>
  <c r="P585" i="103"/>
  <c r="P687" i="103"/>
  <c r="L599" i="103"/>
  <c r="P688" i="103"/>
  <c r="L574" i="103"/>
  <c r="P543" i="103"/>
  <c r="O595" i="103"/>
  <c r="N611" i="103"/>
  <c r="N613" i="103"/>
  <c r="N615" i="103"/>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c r="BK449" i="102"/>
  <c r="BK1600" i="103"/>
  <c r="BL449" i="102"/>
  <c r="BL1600" i="103"/>
  <c r="P545" i="103"/>
  <c r="L547" i="103"/>
  <c r="L1330" i="103"/>
  <c r="AZ1581" i="103"/>
  <c r="AY1581" i="103"/>
  <c r="F721" i="103"/>
  <c r="N526" i="103"/>
  <c r="M517" i="103"/>
  <c r="O6" i="102"/>
  <c r="P6" i="102"/>
  <c r="BF424" i="102"/>
  <c r="BF449" i="102"/>
  <c r="BF1600" i="103"/>
  <c r="L179" i="102"/>
  <c r="AZ430" i="102"/>
  <c r="AZ449" i="102"/>
  <c r="AZ1600" i="103"/>
  <c r="N144" i="102"/>
  <c r="E19" i="102"/>
  <c r="E1170" i="103"/>
  <c r="AY430" i="102"/>
  <c r="AY449" i="102"/>
  <c r="AY1600" i="103"/>
  <c r="Q607" i="103"/>
  <c r="L618" i="103"/>
  <c r="M618" i="103"/>
  <c r="M535" i="103"/>
  <c r="Q612" i="103"/>
  <c r="M523" i="103"/>
  <c r="M529" i="103"/>
  <c r="M526" i="103"/>
  <c r="P599" i="103"/>
  <c r="P598" i="103"/>
  <c r="Q606" i="103"/>
  <c r="P565" i="103"/>
  <c r="L532" i="103"/>
  <c r="O618" i="103"/>
  <c r="M520" i="103"/>
  <c r="L535" i="103"/>
  <c r="N535" i="103"/>
  <c r="P601" i="103"/>
  <c r="P568" i="103"/>
  <c r="P595" i="103"/>
  <c r="P562" i="103"/>
  <c r="P572" i="103"/>
  <c r="P689" i="103"/>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c r="K622" i="103"/>
  <c r="P613" i="103"/>
  <c r="K514" i="103"/>
  <c r="P512" i="103"/>
  <c r="H721" i="103"/>
  <c r="K618" i="103"/>
  <c r="P514" i="103"/>
  <c r="K529" i="103"/>
  <c r="K535" i="103"/>
  <c r="K523" i="103"/>
  <c r="K520" i="103"/>
  <c r="K517" i="103"/>
  <c r="K526" i="103"/>
  <c r="K532" i="103"/>
  <c r="E5" i="101"/>
  <c r="J91" i="101"/>
  <c r="K91" i="101"/>
  <c r="I91" i="101"/>
  <c r="I133" i="73"/>
  <c r="A3" i="101"/>
  <c r="H3" i="101"/>
  <c r="M186" i="101"/>
  <c r="M185" i="101"/>
  <c r="M184" i="101"/>
  <c r="H91" i="101"/>
  <c r="F91" i="101"/>
  <c r="B8" i="74"/>
  <c r="B7" i="74"/>
  <c r="B6" i="74"/>
  <c r="H130" i="81"/>
  <c r="G59" i="93"/>
  <c r="H131" i="81"/>
  <c r="G60" i="96"/>
  <c r="H132" i="81"/>
  <c r="G61" i="93"/>
  <c r="H133" i="81"/>
  <c r="G63" i="96"/>
  <c r="H129" i="81"/>
  <c r="G58" i="96"/>
  <c r="G61" i="96"/>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c r="P518" i="103"/>
  <c r="P519" i="103"/>
  <c r="M518" i="103"/>
  <c r="M519" i="103"/>
  <c r="L518" i="103"/>
  <c r="L519" i="103"/>
  <c r="K518" i="103"/>
  <c r="K519" i="103"/>
  <c r="N518" i="103"/>
  <c r="N519" i="103"/>
  <c r="O518" i="103"/>
  <c r="O519" i="103"/>
  <c r="P530" i="103"/>
  <c r="P531" i="103"/>
  <c r="O530" i="103"/>
  <c r="O531" i="103"/>
  <c r="K530" i="103"/>
  <c r="K531" i="103"/>
  <c r="M530" i="103"/>
  <c r="M531" i="103"/>
  <c r="N530" i="103"/>
  <c r="N531" i="103"/>
  <c r="L530" i="103"/>
  <c r="L531" i="103"/>
  <c r="P521" i="103"/>
  <c r="P522" i="103"/>
  <c r="N521" i="103"/>
  <c r="N522" i="103"/>
  <c r="L521" i="103"/>
  <c r="L522" i="103"/>
  <c r="O521" i="103"/>
  <c r="O522" i="103"/>
  <c r="M521" i="103"/>
  <c r="M522" i="103"/>
  <c r="K521" i="103"/>
  <c r="K522" i="103"/>
  <c r="P536" i="103"/>
  <c r="P537" i="103"/>
  <c r="O536" i="103"/>
  <c r="O537" i="103"/>
  <c r="K536" i="103"/>
  <c r="K537" i="103"/>
  <c r="N536" i="103"/>
  <c r="N537" i="103"/>
  <c r="M536" i="103"/>
  <c r="M537" i="103"/>
  <c r="L536" i="103"/>
  <c r="L537" i="103"/>
  <c r="P524" i="103"/>
  <c r="P525" i="103"/>
  <c r="N524" i="103"/>
  <c r="N525" i="103"/>
  <c r="L524" i="103"/>
  <c r="L525" i="103"/>
  <c r="O524" i="103"/>
  <c r="O525" i="103"/>
  <c r="K524" i="103"/>
  <c r="K525" i="103"/>
  <c r="M524" i="103"/>
  <c r="M525" i="103"/>
  <c r="P527" i="103"/>
  <c r="P528" i="103"/>
  <c r="N527" i="103"/>
  <c r="N528" i="103"/>
  <c r="M527" i="103"/>
  <c r="M528" i="103"/>
  <c r="L527" i="103"/>
  <c r="L528" i="103"/>
  <c r="O527" i="103"/>
  <c r="O528" i="103"/>
  <c r="K527" i="103"/>
  <c r="K528" i="103"/>
  <c r="P533" i="103"/>
  <c r="P534" i="103"/>
  <c r="O533" i="103"/>
  <c r="O534" i="103"/>
  <c r="M533" i="103"/>
  <c r="M534" i="103"/>
  <c r="N533" i="103"/>
  <c r="N534" i="103"/>
  <c r="L533" i="103"/>
  <c r="L534" i="103"/>
  <c r="K533" i="103"/>
  <c r="K534" i="103"/>
  <c r="AB57" i="72"/>
  <c r="AB58" i="72"/>
  <c r="AB59" i="72"/>
  <c r="AB60" i="72"/>
  <c r="AB61" i="72"/>
  <c r="K721" i="103"/>
  <c r="R344" i="72"/>
  <c r="E17" i="89"/>
  <c r="D4" i="93"/>
  <c r="B753" i="103"/>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c r="B25" i="100"/>
  <c r="D16" i="83"/>
  <c r="C753" i="103"/>
  <c r="B763" i="103"/>
  <c r="E16" i="100"/>
  <c r="F19" i="85"/>
  <c r="E8" i="100"/>
  <c r="C8" i="100"/>
  <c r="C16" i="100"/>
  <c r="C14" i="100"/>
  <c r="F17" i="85"/>
  <c r="I68" i="100"/>
  <c r="G68" i="100"/>
  <c r="E68" i="100"/>
  <c r="K68" i="100"/>
  <c r="I66" i="100"/>
  <c r="G66" i="100"/>
  <c r="E66" i="100"/>
  <c r="I61" i="100"/>
  <c r="G61" i="100"/>
  <c r="E61" i="100"/>
  <c r="K61" i="100"/>
  <c r="I60" i="100"/>
  <c r="G60" i="100"/>
  <c r="E60" i="100"/>
  <c r="I59" i="100"/>
  <c r="G59" i="100"/>
  <c r="I58" i="100"/>
  <c r="C34" i="100"/>
  <c r="C29" i="100"/>
  <c r="K33" i="100"/>
  <c r="A2" i="100"/>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c r="E59" i="100"/>
  <c r="K60" i="100"/>
  <c r="K66" i="100"/>
  <c r="D763" i="103"/>
  <c r="E753" i="103"/>
  <c r="E62" i="100"/>
  <c r="K37" i="100"/>
  <c r="K35" i="100"/>
  <c r="K62" i="100"/>
  <c r="F753" i="103"/>
  <c r="E763" i="103"/>
  <c r="J191" i="78"/>
  <c r="I9" i="103"/>
  <c r="N412" i="73"/>
  <c r="N411" i="73"/>
  <c r="N409" i="73"/>
  <c r="N408" i="73"/>
  <c r="N406" i="73"/>
  <c r="N405" i="73"/>
  <c r="O434" i="72"/>
  <c r="P410" i="72"/>
  <c r="O410" i="72"/>
  <c r="O405" i="72"/>
  <c r="O397" i="72"/>
  <c r="Z56" i="72"/>
  <c r="O378" i="72"/>
  <c r="O342" i="72"/>
  <c r="P318" i="72"/>
  <c r="O310" i="72"/>
  <c r="O285" i="72"/>
  <c r="O266" i="72"/>
  <c r="O262" i="72"/>
  <c r="O268" i="72"/>
  <c r="O252" i="72"/>
  <c r="O225" i="72"/>
  <c r="O205" i="72"/>
  <c r="O103" i="72"/>
  <c r="G753" i="103"/>
  <c r="F763" i="103"/>
  <c r="H753" i="103"/>
  <c r="G763" i="103"/>
  <c r="K28" i="66"/>
  <c r="H15" i="100"/>
  <c r="F18" i="85"/>
  <c r="H763" i="103"/>
  <c r="I753" i="103"/>
  <c r="E242" i="72"/>
  <c r="I763" i="103"/>
  <c r="J753" i="103"/>
  <c r="Q295" i="72"/>
  <c r="Q298" i="72"/>
  <c r="Q94" i="72"/>
  <c r="Q312" i="72"/>
  <c r="Q311" i="72"/>
  <c r="K753" i="103"/>
  <c r="J763" i="103"/>
  <c r="AD104" i="78"/>
  <c r="AD105" i="78"/>
  <c r="I91" i="72"/>
  <c r="K763" i="103"/>
  <c r="B785" i="103"/>
  <c r="L285" i="72"/>
  <c r="C785" i="103"/>
  <c r="B795" i="103"/>
  <c r="Q339" i="73"/>
  <c r="H152" i="72"/>
  <c r="D785" i="103"/>
  <c r="C795" i="103"/>
  <c r="L184" i="72"/>
  <c r="E785" i="103"/>
  <c r="D795" i="103"/>
  <c r="L242" i="72"/>
  <c r="P225" i="72"/>
  <c r="R225" i="72"/>
  <c r="Q18" i="72"/>
  <c r="F26" i="78"/>
  <c r="F20" i="78"/>
  <c r="E795" i="103"/>
  <c r="F785" i="103"/>
  <c r="F31" i="72"/>
  <c r="F30" i="72"/>
  <c r="E30" i="72"/>
  <c r="F29" i="72"/>
  <c r="E29" i="72"/>
  <c r="F28" i="72"/>
  <c r="F27" i="72"/>
  <c r="F26" i="72"/>
  <c r="N210" i="73"/>
  <c r="J274" i="72"/>
  <c r="K226" i="72"/>
  <c r="J113" i="72"/>
  <c r="O138" i="72"/>
  <c r="M56" i="73"/>
  <c r="F24" i="72"/>
  <c r="F23" i="72"/>
  <c r="F22" i="72"/>
  <c r="P310" i="72"/>
  <c r="E24" i="72"/>
  <c r="G785" i="103"/>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c r="P205" i="72"/>
  <c r="H785" i="103"/>
  <c r="G795" i="103"/>
  <c r="O113" i="72"/>
  <c r="P113" i="72"/>
  <c r="Q436" i="72"/>
  <c r="Q435" i="72"/>
  <c r="P434" i="72"/>
  <c r="E31" i="72"/>
  <c r="L424" i="72"/>
  <c r="Q410" i="72"/>
  <c r="Q409" i="72"/>
  <c r="Q408" i="72"/>
  <c r="Q407" i="72"/>
  <c r="P405" i="72"/>
  <c r="E28" i="72"/>
  <c r="I785" i="103"/>
  <c r="H795" i="103"/>
  <c r="AF57" i="72"/>
  <c r="AI57" i="72"/>
  <c r="AE57" i="72"/>
  <c r="AH57" i="72"/>
  <c r="AD57" i="72"/>
  <c r="AG57" i="72"/>
  <c r="AF61" i="72"/>
  <c r="AI61" i="72"/>
  <c r="AH61" i="72"/>
  <c r="AG61" i="72"/>
  <c r="L434" i="72"/>
  <c r="Z61" i="72"/>
  <c r="AC61" i="72"/>
  <c r="AA61" i="72"/>
  <c r="X57" i="72"/>
  <c r="AA57" i="72"/>
  <c r="Z57" i="72"/>
  <c r="AC57" i="72"/>
  <c r="Y57" i="72"/>
  <c r="P285" i="72"/>
  <c r="E23" i="72"/>
  <c r="I795" i="103"/>
  <c r="J785" i="103"/>
  <c r="AH50" i="72"/>
  <c r="AD50" i="72"/>
  <c r="AG50" i="72"/>
  <c r="AF50" i="72"/>
  <c r="AI50" i="72"/>
  <c r="AE50" i="72"/>
  <c r="Z50" i="72"/>
  <c r="AC50" i="72"/>
  <c r="Y50" i="72"/>
  <c r="AB50" i="72"/>
  <c r="X50" i="72"/>
  <c r="AA50" i="72"/>
  <c r="E22" i="72"/>
  <c r="M235" i="72"/>
  <c r="Q277" i="72"/>
  <c r="Q276" i="72"/>
  <c r="K785" i="103"/>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c r="B815" i="103"/>
  <c r="I408" i="73"/>
  <c r="I411" i="73"/>
  <c r="I405" i="73"/>
  <c r="B825" i="103"/>
  <c r="C815" i="103"/>
  <c r="AB36" i="72"/>
  <c r="AE40" i="72"/>
  <c r="Y40" i="72"/>
  <c r="AD42" i="72"/>
  <c r="AD46" i="72"/>
  <c r="AD40" i="72"/>
  <c r="X46" i="72"/>
  <c r="X40" i="72"/>
  <c r="X36" i="72"/>
  <c r="C825" i="103"/>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c r="F815" i="103"/>
  <c r="KS49" i="75"/>
  <c r="L134" i="75"/>
  <c r="LD49" i="75"/>
  <c r="M135" i="75"/>
  <c r="LC49" i="75"/>
  <c r="L135" i="75"/>
  <c r="LB49" i="75"/>
  <c r="K135" i="75"/>
  <c r="LF49" i="75"/>
  <c r="O135" i="75"/>
  <c r="LE49" i="75"/>
  <c r="N135" i="75"/>
  <c r="KV49" i="75"/>
  <c r="O134" i="75"/>
  <c r="KT49" i="75"/>
  <c r="M134" i="75"/>
  <c r="KU49" i="75"/>
  <c r="N134" i="75"/>
  <c r="KR49" i="75"/>
  <c r="K134" i="75"/>
  <c r="KK49" i="75"/>
  <c r="N131" i="75"/>
  <c r="KJ49" i="75"/>
  <c r="M131" i="75"/>
  <c r="KI49" i="75"/>
  <c r="L131" i="75"/>
  <c r="KL49" i="75"/>
  <c r="O131" i="75"/>
  <c r="JX49" i="75"/>
  <c r="K130" i="75"/>
  <c r="KB49" i="75"/>
  <c r="O130" i="75"/>
  <c r="KH49" i="75"/>
  <c r="K131" i="75"/>
  <c r="JZ49" i="75"/>
  <c r="M130" i="75"/>
  <c r="JY49" i="75"/>
  <c r="L130" i="75"/>
  <c r="KA49" i="75"/>
  <c r="N130" i="75"/>
  <c r="F825" i="103"/>
  <c r="L153" i="75"/>
  <c r="O153" i="75"/>
  <c r="M154" i="75"/>
  <c r="L154" i="75"/>
  <c r="O154" i="75"/>
  <c r="N154" i="75"/>
  <c r="K154" i="75"/>
  <c r="M153" i="75"/>
  <c r="K153" i="75"/>
  <c r="N153" i="75"/>
  <c r="N354" i="73"/>
  <c r="N371" i="73"/>
  <c r="F73" i="98"/>
  <c r="K73" i="98"/>
  <c r="F74" i="98"/>
  <c r="F70" i="98"/>
  <c r="K74" i="98"/>
  <c r="F71" i="98"/>
  <c r="K70" i="98"/>
  <c r="F72" i="98"/>
  <c r="K71" i="98"/>
  <c r="K72" i="98"/>
  <c r="B31" i="74"/>
  <c r="B738" i="103"/>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c r="AD43" i="72"/>
  <c r="AE43" i="72"/>
  <c r="Y43" i="72"/>
  <c r="X43" i="72"/>
  <c r="AD47" i="72"/>
  <c r="X47" i="72"/>
  <c r="O171" i="72"/>
  <c r="Q152" i="72"/>
  <c r="Q172" i="72"/>
  <c r="P171" i="72"/>
  <c r="L171" i="72"/>
  <c r="P169" i="72"/>
  <c r="Q171" i="72"/>
  <c r="O169" i="72"/>
  <c r="R169" i="72"/>
  <c r="O233" i="72"/>
  <c r="L169" i="72"/>
  <c r="X41" i="72"/>
  <c r="Y41" i="72"/>
  <c r="AD41" i="72"/>
  <c r="AE41" i="72"/>
  <c r="U187" i="78"/>
  <c r="S191" i="78"/>
  <c r="P50" i="72"/>
  <c r="H63" i="72"/>
  <c r="J63" i="72"/>
  <c r="I63" i="72"/>
  <c r="K63" i="72"/>
  <c r="G63" i="72"/>
  <c r="N214" i="72"/>
  <c r="AG409" i="73"/>
  <c r="AF409" i="73"/>
  <c r="AE409" i="73"/>
  <c r="AD409" i="73"/>
  <c r="AC409" i="73"/>
  <c r="AB409" i="73"/>
  <c r="AA409" i="73"/>
  <c r="Z409" i="73"/>
  <c r="AG407" i="73"/>
  <c r="AF407" i="73"/>
  <c r="AE407" i="73"/>
  <c r="AD407" i="73"/>
  <c r="AC407" i="73"/>
  <c r="AB407" i="73"/>
  <c r="AA407" i="73"/>
  <c r="Z407" i="73"/>
  <c r="Q180" i="72"/>
  <c r="Q181" i="72"/>
  <c r="Q182"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9" i="89"/>
  <c r="C48" i="90"/>
  <c r="E28"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M34" i="72"/>
  <c r="K342" i="72"/>
  <c r="H225" i="72"/>
  <c r="J318" i="72"/>
  <c r="J378" i="72"/>
  <c r="P37" i="72"/>
  <c r="M103" i="72"/>
  <c r="J89" i="72"/>
  <c r="P93" i="72"/>
  <c r="L114" i="72"/>
  <c r="L217" i="73"/>
  <c r="P66" i="98"/>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c r="C49" i="78"/>
  <c r="H18" i="100"/>
  <c r="J18" i="100"/>
  <c r="C40" i="100"/>
  <c r="B58" i="78"/>
  <c r="L11" i="95"/>
  <c r="D5" i="87"/>
  <c r="A5" i="87"/>
  <c r="Q211" i="72"/>
  <c r="K320"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L13" i="75"/>
  <c r="L12" i="75"/>
  <c r="L11" i="75"/>
  <c r="KM49" i="75"/>
  <c r="KW49" i="75"/>
  <c r="KY49" i="75"/>
  <c r="KP49" i="75"/>
  <c r="KO49" i="75"/>
  <c r="KX49" i="75"/>
  <c r="LA49" i="75"/>
  <c r="KZ49" i="75"/>
  <c r="KN49" i="75"/>
  <c r="KQ49" i="75"/>
  <c r="M133" i="75"/>
  <c r="L133" i="75"/>
  <c r="L132" i="75"/>
  <c r="K132" i="75"/>
  <c r="O133" i="75"/>
  <c r="O132" i="75"/>
  <c r="K133" i="75"/>
  <c r="M132" i="75"/>
  <c r="N133" i="75"/>
  <c r="N132" i="75"/>
  <c r="P132" i="75"/>
  <c r="P133" i="75"/>
  <c r="P134" i="75"/>
  <c r="P135" i="75"/>
  <c r="L349" i="72"/>
  <c r="Q349" i="72"/>
  <c r="Q228" i="72"/>
  <c r="Q227"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5"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J47" i="93"/>
  <c r="K47" i="93"/>
  <c r="J35" i="93"/>
  <c r="K35" i="93"/>
  <c r="K33" i="93"/>
  <c r="K52" i="93"/>
  <c r="K54" i="93"/>
  <c r="K68" i="93"/>
  <c r="K70" i="93"/>
  <c r="Q176" i="72"/>
  <c r="Q177" i="72"/>
  <c r="X44" i="72"/>
  <c r="AD44" i="72"/>
  <c r="F121" i="78"/>
  <c r="F234" i="103"/>
  <c r="AG125" i="78"/>
  <c r="AG122" i="78"/>
  <c r="AC127" i="78"/>
  <c r="AC126" i="78"/>
  <c r="AC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J26" i="66"/>
  <c r="A45" i="103"/>
  <c r="J25" i="103"/>
  <c r="A1" i="102"/>
  <c r="A314" i="103"/>
  <c r="A1" i="101"/>
  <c r="E18" i="89"/>
  <c r="H8" i="100"/>
  <c r="F14" i="85"/>
  <c r="P50" i="98"/>
  <c r="G74" i="98"/>
  <c r="L74" i="98"/>
  <c r="A2" i="75"/>
  <c r="T2" i="75"/>
  <c r="A2" i="68"/>
  <c r="S2" i="68"/>
  <c r="A2" i="78"/>
  <c r="W2" i="78"/>
  <c r="A1" i="77"/>
  <c r="A1" i="72"/>
  <c r="A1" i="76"/>
  <c r="A1" i="73"/>
  <c r="A2" i="74"/>
  <c r="N2" i="74"/>
  <c r="I3" i="76"/>
  <c r="I401" i="103"/>
  <c r="J48" i="75"/>
  <c r="J495" i="103"/>
  <c r="L495" i="103"/>
  <c r="M495" i="103"/>
  <c r="J47" i="75"/>
  <c r="J494" i="103"/>
  <c r="L494" i="103"/>
  <c r="M494" i="103"/>
  <c r="J46" i="75"/>
  <c r="J493" i="103"/>
  <c r="L493" i="103"/>
  <c r="M493" i="103"/>
  <c r="J45" i="75"/>
  <c r="J492" i="103"/>
  <c r="L492" i="103"/>
  <c r="M492" i="103"/>
  <c r="J44" i="75"/>
  <c r="J491" i="103"/>
  <c r="L491" i="103"/>
  <c r="M491" i="103"/>
  <c r="J43" i="75"/>
  <c r="J490" i="103"/>
  <c r="L490" i="103"/>
  <c r="M490" i="103"/>
  <c r="J42" i="75"/>
  <c r="J489" i="103"/>
  <c r="L489" i="103"/>
  <c r="M489" i="103"/>
  <c r="J41" i="75"/>
  <c r="J488" i="103"/>
  <c r="L488" i="103"/>
  <c r="M488" i="103"/>
  <c r="J40" i="75"/>
  <c r="J487" i="103"/>
  <c r="L487" i="103"/>
  <c r="M487" i="103"/>
  <c r="J39" i="75"/>
  <c r="J486" i="103"/>
  <c r="L486" i="103"/>
  <c r="M486" i="103"/>
  <c r="J38" i="75"/>
  <c r="J485" i="103"/>
  <c r="L485" i="103"/>
  <c r="M485" i="103"/>
  <c r="J37" i="75"/>
  <c r="J484" i="103"/>
  <c r="L484" i="103"/>
  <c r="M484" i="103"/>
  <c r="J36" i="75"/>
  <c r="J483" i="103"/>
  <c r="L483" i="103"/>
  <c r="M483" i="103"/>
  <c r="J35" i="75"/>
  <c r="J482" i="103"/>
  <c r="L482" i="103"/>
  <c r="M482" i="103"/>
  <c r="J34" i="75"/>
  <c r="J481" i="103"/>
  <c r="L481" i="103"/>
  <c r="M481" i="103"/>
  <c r="J33" i="75"/>
  <c r="J480" i="103"/>
  <c r="L480" i="103"/>
  <c r="M480" i="103"/>
  <c r="J32" i="75"/>
  <c r="J479" i="103"/>
  <c r="L479" i="103"/>
  <c r="M479" i="103"/>
  <c r="J31" i="75"/>
  <c r="J478" i="103"/>
  <c r="L478" i="103"/>
  <c r="M478" i="103"/>
  <c r="J30" i="75"/>
  <c r="J477" i="103"/>
  <c r="L477" i="103"/>
  <c r="M477" i="103"/>
  <c r="J29" i="75"/>
  <c r="J476" i="103"/>
  <c r="L476" i="103"/>
  <c r="M476" i="103"/>
  <c r="J28" i="75"/>
  <c r="J475" i="103"/>
  <c r="L475" i="103"/>
  <c r="M475" i="103"/>
  <c r="J27" i="75"/>
  <c r="J474" i="103"/>
  <c r="L474" i="103"/>
  <c r="M474" i="103"/>
  <c r="J26" i="75"/>
  <c r="J473" i="103"/>
  <c r="L473" i="103"/>
  <c r="M473" i="103"/>
  <c r="J25" i="75"/>
  <c r="J472" i="103"/>
  <c r="L472" i="103"/>
  <c r="M472" i="103"/>
  <c r="J24" i="75"/>
  <c r="J471" i="103"/>
  <c r="L471" i="103"/>
  <c r="M471" i="103"/>
  <c r="J22" i="75"/>
  <c r="J469" i="103"/>
  <c r="L469" i="103"/>
  <c r="M469" i="103"/>
  <c r="M12" i="75"/>
  <c r="M11" i="75"/>
  <c r="M135" i="72"/>
  <c r="H133" i="73"/>
  <c r="K133" i="73"/>
  <c r="J133" i="73"/>
  <c r="F133" i="73"/>
  <c r="Q251" i="75"/>
  <c r="S145" i="75"/>
  <c r="S102" i="75"/>
  <c r="B24" i="74"/>
  <c r="B731" i="103"/>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c r="P42" i="68"/>
  <c r="P85" i="103"/>
  <c r="P40" i="68"/>
  <c r="P83" i="103"/>
  <c r="P41" i="68"/>
  <c r="P84" i="103"/>
  <c r="B3" i="76"/>
  <c r="C4" i="74"/>
  <c r="B6" i="72"/>
  <c r="L6" i="75"/>
  <c r="D6" i="78"/>
  <c r="L4" i="68"/>
  <c r="O4" i="67"/>
  <c r="E25" i="72"/>
  <c r="P262" i="72"/>
  <c r="P266" i="72"/>
  <c r="F25" i="72"/>
  <c r="F20" i="72"/>
  <c r="F19" i="72"/>
  <c r="F17" i="72"/>
  <c r="F16" i="72"/>
  <c r="F13" i="72"/>
  <c r="P12" i="72"/>
  <c r="P10"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c r="D56" i="92"/>
  <c r="C31" i="90"/>
  <c r="C30" i="90"/>
  <c r="F48" i="92"/>
  <c r="C25" i="90"/>
  <c r="C139" i="90"/>
  <c r="C23" i="90"/>
  <c r="C15" i="90"/>
  <c r="C19" i="90"/>
  <c r="C144" i="90"/>
  <c r="C18" i="90"/>
  <c r="C143" i="90"/>
  <c r="D54" i="86"/>
  <c r="E54" i="86"/>
  <c r="F54" i="86"/>
  <c r="G54" i="86"/>
  <c r="H54" i="86"/>
  <c r="H49" i="86"/>
  <c r="E6" i="86"/>
  <c r="K5" i="86"/>
  <c r="E5" i="86"/>
  <c r="E4" i="86"/>
  <c r="G49" i="86"/>
  <c r="F49" i="86"/>
  <c r="E49" i="86"/>
  <c r="D49" i="86"/>
  <c r="O67" i="85"/>
  <c r="F78" i="89"/>
  <c r="E185" i="90"/>
  <c r="F76" i="89"/>
  <c r="E173" i="90"/>
  <c r="F74" i="89"/>
  <c r="E168" i="90"/>
  <c r="Q67" i="85"/>
  <c r="N67" i="85"/>
  <c r="L67" i="85"/>
  <c r="F103" i="92"/>
  <c r="E97" i="90"/>
  <c r="E93" i="90"/>
  <c r="F40" i="89"/>
  <c r="D80" i="90"/>
  <c r="H4" i="86"/>
  <c r="C30" i="84"/>
  <c r="C32" i="84"/>
  <c r="B32" i="84"/>
  <c r="C31" i="84"/>
  <c r="B31" i="84"/>
  <c r="C25" i="84"/>
  <c r="B25" i="84"/>
  <c r="M11" i="84"/>
  <c r="E16" i="84"/>
  <c r="C16" i="84"/>
  <c r="C14" i="84"/>
  <c r="E11" i="84"/>
  <c r="C11" i="84"/>
  <c r="H12" i="84"/>
  <c r="C12" i="84"/>
  <c r="K11" i="84"/>
  <c r="H11" i="84"/>
  <c r="K10" i="84"/>
  <c r="H10" i="84"/>
  <c r="C10" i="84"/>
  <c r="H9" i="84"/>
  <c r="D14" i="84"/>
  <c r="G7" i="74"/>
  <c r="G714" i="103"/>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c r="P103" i="72"/>
  <c r="P104" i="72"/>
  <c r="B105" i="78"/>
  <c r="V18" i="78"/>
  <c r="T4" i="75"/>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D39" i="78"/>
  <c r="E39" i="78"/>
  <c r="D38" i="78"/>
  <c r="E38" i="78"/>
  <c r="N293" i="73"/>
  <c r="N291" i="73"/>
  <c r="M291" i="73"/>
  <c r="L291" i="73"/>
  <c r="N290" i="73"/>
  <c r="L380" i="72"/>
  <c r="M374" i="73"/>
  <c r="A36" i="74"/>
  <c r="A68" i="74"/>
  <c r="A99" i="74"/>
  <c r="A129" i="74"/>
  <c r="A35" i="74"/>
  <c r="A67" i="74"/>
  <c r="A98" i="74"/>
  <c r="A128" i="74"/>
  <c r="A34" i="74"/>
  <c r="A66" i="74"/>
  <c r="A97" i="74"/>
  <c r="A127" i="74"/>
  <c r="N179" i="78"/>
  <c r="O10" i="66"/>
  <c r="A2" i="79"/>
  <c r="P397" i="72"/>
  <c r="P378" i="72"/>
  <c r="R378" i="72"/>
  <c r="S344" i="72"/>
  <c r="O75" i="72"/>
  <c r="P72" i="72"/>
  <c r="J75" i="72"/>
  <c r="P68" i="72"/>
  <c r="F75"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C14" i="74"/>
  <c r="C22" i="74"/>
  <c r="C729" i="103"/>
  <c r="N12" i="74"/>
  <c r="N4" i="74"/>
  <c r="F247" i="75"/>
  <c r="C59" i="84"/>
  <c r="L241" i="75"/>
  <c r="C60" i="84"/>
  <c r="E60" i="84"/>
  <c r="F236" i="75"/>
  <c r="L231" i="75"/>
  <c r="F227" i="75"/>
  <c r="L247" i="75"/>
  <c r="C61" i="84"/>
  <c r="L223" i="75"/>
  <c r="S218" i="75"/>
  <c r="L216" i="75"/>
  <c r="F113" i="74"/>
  <c r="F820" i="103"/>
  <c r="K216" i="75"/>
  <c r="E113" i="74"/>
  <c r="E820" i="103"/>
  <c r="J216" i="75"/>
  <c r="D113" i="74"/>
  <c r="D820" i="103"/>
  <c r="I216" i="75"/>
  <c r="C113" i="74"/>
  <c r="C820" i="103"/>
  <c r="H216" i="75"/>
  <c r="B113" i="74"/>
  <c r="B820" i="103"/>
  <c r="S213" i="75"/>
  <c r="L212" i="75"/>
  <c r="F112" i="74"/>
  <c r="F819" i="103"/>
  <c r="K212" i="75"/>
  <c r="E112" i="74"/>
  <c r="E819" i="103"/>
  <c r="J212" i="75"/>
  <c r="D112" i="74"/>
  <c r="D819" i="103"/>
  <c r="I212" i="75"/>
  <c r="C112" i="74"/>
  <c r="C819" i="103"/>
  <c r="H212" i="75"/>
  <c r="B112" i="74"/>
  <c r="B819" i="103"/>
  <c r="T209" i="75"/>
  <c r="Q207" i="75"/>
  <c r="K83" i="74"/>
  <c r="K790" i="103"/>
  <c r="P207" i="75"/>
  <c r="J83" i="74"/>
  <c r="J790" i="103"/>
  <c r="O207" i="75"/>
  <c r="I83" i="74"/>
  <c r="I790" i="103"/>
  <c r="N207" i="75"/>
  <c r="H83" i="74"/>
  <c r="H790" i="103"/>
  <c r="M207" i="75"/>
  <c r="G83" i="74"/>
  <c r="G790" i="103"/>
  <c r="L207" i="75"/>
  <c r="F83" i="74"/>
  <c r="F790" i="103"/>
  <c r="K207" i="75"/>
  <c r="E83" i="74"/>
  <c r="E790" i="103"/>
  <c r="J207" i="75"/>
  <c r="D83" i="74"/>
  <c r="D790" i="103"/>
  <c r="I207" i="75"/>
  <c r="C83" i="74"/>
  <c r="C790" i="103"/>
  <c r="H207" i="75"/>
  <c r="B83" i="74"/>
  <c r="B790" i="103"/>
  <c r="S204" i="75"/>
  <c r="Q203" i="75"/>
  <c r="K82" i="74"/>
  <c r="K789" i="103"/>
  <c r="P203" i="75"/>
  <c r="J82" i="74"/>
  <c r="J789" i="103"/>
  <c r="O203" i="75"/>
  <c r="I82" i="74"/>
  <c r="I789" i="103"/>
  <c r="N203" i="75"/>
  <c r="H82" i="74"/>
  <c r="H789" i="103"/>
  <c r="M203" i="75"/>
  <c r="G82" i="74"/>
  <c r="G789" i="103"/>
  <c r="L203" i="75"/>
  <c r="F82" i="74"/>
  <c r="F789" i="103"/>
  <c r="K203" i="75"/>
  <c r="E82" i="74"/>
  <c r="E789" i="103"/>
  <c r="J203" i="75"/>
  <c r="D82" i="74"/>
  <c r="D789" i="103"/>
  <c r="I203" i="75"/>
  <c r="C82" i="74"/>
  <c r="C789" i="103"/>
  <c r="H203" i="75"/>
  <c r="B82" i="74"/>
  <c r="B789" i="103"/>
  <c r="T200" i="75"/>
  <c r="Q198" i="75"/>
  <c r="K51" i="74"/>
  <c r="K758" i="103"/>
  <c r="P198" i="75"/>
  <c r="J51" i="74"/>
  <c r="J758" i="103"/>
  <c r="O198" i="75"/>
  <c r="I51" i="74"/>
  <c r="I758" i="103"/>
  <c r="N198" i="75"/>
  <c r="H51" i="74"/>
  <c r="H758" i="103"/>
  <c r="M198" i="75"/>
  <c r="G51" i="74"/>
  <c r="G758" i="103"/>
  <c r="L198" i="75"/>
  <c r="F51" i="74"/>
  <c r="F758" i="103"/>
  <c r="K198" i="75"/>
  <c r="E51" i="74"/>
  <c r="E758" i="103"/>
  <c r="J198" i="75"/>
  <c r="D51" i="74"/>
  <c r="D758" i="103"/>
  <c r="I198" i="75"/>
  <c r="C51" i="74"/>
  <c r="C758" i="103"/>
  <c r="H198" i="75"/>
  <c r="B51" i="74"/>
  <c r="B758" i="103"/>
  <c r="S195" i="75"/>
  <c r="Q194" i="75"/>
  <c r="K50" i="74"/>
  <c r="K757" i="103"/>
  <c r="P194" i="75"/>
  <c r="J50" i="74"/>
  <c r="J757" i="103"/>
  <c r="O194" i="75"/>
  <c r="I50" i="74"/>
  <c r="I757" i="103"/>
  <c r="N194" i="75"/>
  <c r="H50" i="74"/>
  <c r="H757" i="103"/>
  <c r="M194" i="75"/>
  <c r="G50" i="74"/>
  <c r="G757" i="103"/>
  <c r="L194" i="75"/>
  <c r="F50" i="74"/>
  <c r="F757" i="103"/>
  <c r="K194" i="75"/>
  <c r="E50" i="74"/>
  <c r="E757" i="103"/>
  <c r="J194" i="75"/>
  <c r="D50" i="74"/>
  <c r="D757" i="103"/>
  <c r="I194" i="75"/>
  <c r="C50" i="74"/>
  <c r="C757" i="103"/>
  <c r="H194" i="75"/>
  <c r="B50" i="74"/>
  <c r="B757" i="103"/>
  <c r="T191" i="75"/>
  <c r="Q189" i="75"/>
  <c r="K19" i="74"/>
  <c r="K726" i="103"/>
  <c r="P189" i="75"/>
  <c r="J19" i="74"/>
  <c r="J726" i="103"/>
  <c r="O189" i="75"/>
  <c r="I19" i="74"/>
  <c r="I726" i="103"/>
  <c r="N189" i="75"/>
  <c r="H19" i="74"/>
  <c r="H726" i="103"/>
  <c r="M189" i="75"/>
  <c r="G19" i="74"/>
  <c r="G726" i="103"/>
  <c r="L189" i="75"/>
  <c r="F19" i="74"/>
  <c r="F726" i="103"/>
  <c r="K189" i="75"/>
  <c r="E19" i="74"/>
  <c r="E726" i="103"/>
  <c r="J189" i="75"/>
  <c r="D19" i="74"/>
  <c r="D726" i="103"/>
  <c r="I189" i="75"/>
  <c r="C19" i="74"/>
  <c r="C726" i="103"/>
  <c r="H189" i="75"/>
  <c r="B19" i="74"/>
  <c r="B726" i="103"/>
  <c r="S186" i="75"/>
  <c r="Q185" i="75"/>
  <c r="K18" i="74"/>
  <c r="K725" i="103"/>
  <c r="P185" i="75"/>
  <c r="J18" i="74"/>
  <c r="J725" i="103"/>
  <c r="O185" i="75"/>
  <c r="I18" i="74"/>
  <c r="I725" i="103"/>
  <c r="N185" i="75"/>
  <c r="H18" i="74"/>
  <c r="H725" i="103"/>
  <c r="M185" i="75"/>
  <c r="G18" i="74"/>
  <c r="G725" i="103"/>
  <c r="L185" i="75"/>
  <c r="F18" i="74"/>
  <c r="F725" i="103"/>
  <c r="K185" i="75"/>
  <c r="E18" i="74"/>
  <c r="E725" i="103"/>
  <c r="J185" i="75"/>
  <c r="D18" i="74"/>
  <c r="D725" i="103"/>
  <c r="I185" i="75"/>
  <c r="C18" i="74"/>
  <c r="C725" i="103"/>
  <c r="H185" i="75"/>
  <c r="B18" i="74"/>
  <c r="B725" i="103"/>
  <c r="S182" i="75"/>
  <c r="S181" i="75"/>
  <c r="S179" i="75"/>
  <c r="S156" i="75"/>
  <c r="S146" i="75"/>
  <c r="S126" i="75"/>
  <c r="P123" i="75"/>
  <c r="A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c r="J465" i="103"/>
  <c r="L465" i="103"/>
  <c r="M465" i="103"/>
  <c r="L22" i="76"/>
  <c r="K22" i="76"/>
  <c r="J19" i="75"/>
  <c r="J466" i="103"/>
  <c r="L466" i="103"/>
  <c r="M466" i="103"/>
  <c r="J22" i="76"/>
  <c r="I22" i="76"/>
  <c r="J182" i="78"/>
  <c r="J179" i="78"/>
  <c r="W175"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c r="K743" i="103"/>
  <c r="C44" i="90"/>
  <c r="H8" i="84"/>
  <c r="C59" i="74"/>
  <c r="C766" i="103"/>
  <c r="C774" i="103"/>
  <c r="G28" i="74"/>
  <c r="G735" i="103"/>
  <c r="G743" i="103"/>
  <c r="D60" i="74"/>
  <c r="D767" i="103"/>
  <c r="D775" i="103"/>
  <c r="B41" i="74"/>
  <c r="B748" i="103"/>
  <c r="C121" i="74"/>
  <c r="C828" i="103"/>
  <c r="C835" i="103"/>
  <c r="H26" i="74"/>
  <c r="H733" i="103"/>
  <c r="K91" i="74"/>
  <c r="K798" i="103"/>
  <c r="K805" i="103"/>
  <c r="D120" i="74"/>
  <c r="D827" i="103"/>
  <c r="O28" i="66"/>
  <c r="A2" i="66"/>
  <c r="N28" i="66"/>
  <c r="N27" i="103"/>
  <c r="A3" i="79"/>
  <c r="E122" i="74"/>
  <c r="E829" i="103"/>
  <c r="E836" i="103"/>
  <c r="K92" i="74"/>
  <c r="K799" i="103"/>
  <c r="K806" i="103"/>
  <c r="G92" i="74"/>
  <c r="G799" i="103"/>
  <c r="G806" i="103"/>
  <c r="C92" i="74"/>
  <c r="C799" i="103"/>
  <c r="C806" i="103"/>
  <c r="K60" i="74"/>
  <c r="K767" i="103"/>
  <c r="K775" i="103"/>
  <c r="G60" i="74"/>
  <c r="G767" i="103"/>
  <c r="G775" i="103"/>
  <c r="C60" i="74"/>
  <c r="C767" i="103"/>
  <c r="C775" i="103"/>
  <c r="J28" i="74"/>
  <c r="J735" i="103"/>
  <c r="J743" i="103"/>
  <c r="F28" i="74"/>
  <c r="F735" i="103"/>
  <c r="F743" i="103"/>
  <c r="B28" i="74"/>
  <c r="B735" i="103"/>
  <c r="B743" i="103"/>
  <c r="C122" i="74"/>
  <c r="C829" i="103"/>
  <c r="C836" i="103"/>
  <c r="E92" i="74"/>
  <c r="E799" i="103"/>
  <c r="E806" i="103"/>
  <c r="I60" i="74"/>
  <c r="I767" i="103"/>
  <c r="I775" i="103"/>
  <c r="H28" i="74"/>
  <c r="H735" i="103"/>
  <c r="H743" i="103"/>
  <c r="D28" i="74"/>
  <c r="D735" i="103"/>
  <c r="D743" i="103"/>
  <c r="D122" i="74"/>
  <c r="J92" i="74"/>
  <c r="J799" i="103"/>
  <c r="J806" i="103"/>
  <c r="F92" i="74"/>
  <c r="F799" i="103"/>
  <c r="F806" i="103"/>
  <c r="B92" i="74"/>
  <c r="B799" i="103"/>
  <c r="B806" i="103"/>
  <c r="J60" i="74"/>
  <c r="J767" i="103"/>
  <c r="J775" i="103"/>
  <c r="F60" i="74"/>
  <c r="F767" i="103"/>
  <c r="F775" i="103"/>
  <c r="B60" i="74"/>
  <c r="B767" i="103"/>
  <c r="B775" i="103"/>
  <c r="I28" i="74"/>
  <c r="I735" i="103"/>
  <c r="I743" i="103"/>
  <c r="E28" i="74"/>
  <c r="E735" i="103"/>
  <c r="E743" i="103"/>
  <c r="I92" i="74"/>
  <c r="I799" i="103"/>
  <c r="I806" i="103"/>
  <c r="E60" i="74"/>
  <c r="E767" i="103"/>
  <c r="E775" i="103"/>
  <c r="F122" i="74"/>
  <c r="F829" i="103"/>
  <c r="F836" i="103"/>
  <c r="B122" i="74"/>
  <c r="B829" i="103"/>
  <c r="B836" i="103"/>
  <c r="H92" i="74"/>
  <c r="H799" i="103"/>
  <c r="H806" i="103"/>
  <c r="D92" i="74"/>
  <c r="D799" i="103"/>
  <c r="D806" i="103"/>
  <c r="H60" i="74"/>
  <c r="H767" i="103"/>
  <c r="H775" i="103"/>
  <c r="C28" i="74"/>
  <c r="C735" i="103"/>
  <c r="C743" i="103"/>
  <c r="I26" i="74"/>
  <c r="I733" i="103"/>
  <c r="J58" i="74"/>
  <c r="J765" i="103"/>
  <c r="B120" i="74"/>
  <c r="B827" i="103"/>
  <c r="J29" i="74"/>
  <c r="J736" i="103"/>
  <c r="J744" i="103"/>
  <c r="B26" i="74"/>
  <c r="H27" i="74"/>
  <c r="H734" i="103"/>
  <c r="H742" i="103"/>
  <c r="H29" i="74"/>
  <c r="H736" i="103"/>
  <c r="H744" i="103"/>
  <c r="A2" i="67"/>
  <c r="B43" i="74"/>
  <c r="B750" i="103"/>
  <c r="B42" i="74"/>
  <c r="B749" i="103"/>
  <c r="C41" i="74"/>
  <c r="C748" i="103"/>
  <c r="M16" i="75"/>
  <c r="M14" i="75"/>
  <c r="C43" i="74"/>
  <c r="C750" i="103"/>
  <c r="C42" i="74"/>
  <c r="C749" i="103"/>
  <c r="D41" i="74"/>
  <c r="D748" i="103"/>
  <c r="D43" i="74"/>
  <c r="D750" i="103"/>
  <c r="D42" i="74"/>
  <c r="D749" i="103"/>
  <c r="E41" i="74"/>
  <c r="E748" i="103"/>
  <c r="E43" i="74"/>
  <c r="E750" i="103"/>
  <c r="E42" i="74"/>
  <c r="E749" i="103"/>
  <c r="F41" i="74"/>
  <c r="F748" i="103"/>
  <c r="F43" i="74"/>
  <c r="F750" i="103"/>
  <c r="F42" i="74"/>
  <c r="F749" i="103"/>
  <c r="G41" i="74"/>
  <c r="G748" i="103"/>
  <c r="G43" i="74"/>
  <c r="G750" i="103"/>
  <c r="G42" i="74"/>
  <c r="G749" i="103"/>
  <c r="H41" i="74"/>
  <c r="H748" i="103"/>
  <c r="H43" i="74"/>
  <c r="H750" i="103"/>
  <c r="H42" i="74"/>
  <c r="H749" i="103"/>
  <c r="I41" i="74"/>
  <c r="I748" i="103"/>
  <c r="I43" i="74"/>
  <c r="I750" i="103"/>
  <c r="I42" i="74"/>
  <c r="I749" i="103"/>
  <c r="J41" i="74"/>
  <c r="J748" i="103"/>
  <c r="J43" i="74"/>
  <c r="J750" i="103"/>
  <c r="J42" i="74"/>
  <c r="J749" i="103"/>
  <c r="K41" i="74"/>
  <c r="K748" i="103"/>
  <c r="K43" i="74"/>
  <c r="K750" i="103"/>
  <c r="B75" i="74"/>
  <c r="B782" i="103"/>
  <c r="K42" i="74"/>
  <c r="K749" i="103"/>
  <c r="B73" i="74"/>
  <c r="B780" i="103"/>
  <c r="C75" i="74"/>
  <c r="C782" i="103"/>
  <c r="B74" i="74"/>
  <c r="B781" i="103"/>
  <c r="C73" i="74"/>
  <c r="C780" i="103"/>
  <c r="D75" i="74"/>
  <c r="D782" i="103"/>
  <c r="C74" i="74"/>
  <c r="C781" i="103"/>
  <c r="D73" i="74"/>
  <c r="D780" i="103"/>
  <c r="E75" i="74"/>
  <c r="E782" i="103"/>
  <c r="D74" i="74"/>
  <c r="D781" i="103"/>
  <c r="E73" i="74"/>
  <c r="E780" i="103"/>
  <c r="F75" i="74"/>
  <c r="F782" i="103"/>
  <c r="E74" i="74"/>
  <c r="E781" i="103"/>
  <c r="F73" i="74"/>
  <c r="F780" i="103"/>
  <c r="G75" i="74"/>
  <c r="G782" i="103"/>
  <c r="F74" i="74"/>
  <c r="F781" i="103"/>
  <c r="G73" i="74"/>
  <c r="G780" i="103"/>
  <c r="H75" i="74"/>
  <c r="H782" i="103"/>
  <c r="G74" i="74"/>
  <c r="G781" i="103"/>
  <c r="H73" i="74"/>
  <c r="H780" i="103"/>
  <c r="I75" i="74"/>
  <c r="I782" i="103"/>
  <c r="H74" i="74"/>
  <c r="H781" i="103"/>
  <c r="I73" i="74"/>
  <c r="I780" i="103"/>
  <c r="B59" i="82"/>
  <c r="J75" i="74"/>
  <c r="J782" i="103"/>
  <c r="I74" i="74"/>
  <c r="I781" i="103"/>
  <c r="J73" i="74"/>
  <c r="J780" i="103"/>
  <c r="K75" i="74"/>
  <c r="K782" i="103"/>
  <c r="J74" i="74"/>
  <c r="J781" i="103"/>
  <c r="K73" i="74"/>
  <c r="K780" i="103"/>
  <c r="B106" i="74"/>
  <c r="B813" i="103"/>
  <c r="K74" i="74"/>
  <c r="K781" i="103"/>
  <c r="B104" i="74"/>
  <c r="B811" i="103"/>
  <c r="C106" i="74"/>
  <c r="C813" i="103"/>
  <c r="B105" i="74"/>
  <c r="B812" i="103"/>
  <c r="C104" i="74"/>
  <c r="C811" i="103"/>
  <c r="D106" i="74"/>
  <c r="D813" i="103"/>
  <c r="C105" i="74"/>
  <c r="C812" i="103"/>
  <c r="D104" i="74"/>
  <c r="D811" i="103"/>
  <c r="E106" i="74"/>
  <c r="E813" i="103"/>
  <c r="D105" i="74"/>
  <c r="D812" i="103"/>
  <c r="E104" i="74"/>
  <c r="E811" i="103"/>
  <c r="F106" i="74"/>
  <c r="F813" i="103"/>
  <c r="E105" i="74"/>
  <c r="E812" i="103"/>
  <c r="F104" i="74"/>
  <c r="F811" i="103"/>
  <c r="G106" i="74"/>
  <c r="G813" i="103"/>
  <c r="F105" i="74"/>
  <c r="F812" i="103"/>
  <c r="G104" i="74"/>
  <c r="G811" i="103"/>
  <c r="H106" i="74"/>
  <c r="H813" i="103"/>
  <c r="G105" i="74"/>
  <c r="G812" i="103"/>
  <c r="H104" i="74"/>
  <c r="H811" i="103"/>
  <c r="I106" i="74"/>
  <c r="I813" i="103"/>
  <c r="H105" i="74"/>
  <c r="H812" i="103"/>
  <c r="I104" i="74"/>
  <c r="I811" i="103"/>
  <c r="J106" i="74"/>
  <c r="J813" i="103"/>
  <c r="I105" i="74"/>
  <c r="I812" i="103"/>
  <c r="J104" i="74"/>
  <c r="J811" i="103"/>
  <c r="K106" i="74"/>
  <c r="K813" i="103"/>
  <c r="J105" i="74"/>
  <c r="J812" i="103"/>
  <c r="K104" i="74"/>
  <c r="K811" i="103"/>
  <c r="B136" i="74"/>
  <c r="B843" i="103"/>
  <c r="K105" i="74"/>
  <c r="K812" i="103"/>
  <c r="B134" i="74"/>
  <c r="B841" i="103"/>
  <c r="C136" i="74"/>
  <c r="C843" i="103"/>
  <c r="B135" i="74"/>
  <c r="B842" i="103"/>
  <c r="C134" i="74"/>
  <c r="C841" i="103"/>
  <c r="D136" i="74"/>
  <c r="D843" i="103"/>
  <c r="C135" i="74"/>
  <c r="C842" i="103"/>
  <c r="D134" i="74"/>
  <c r="D841" i="103"/>
  <c r="E136" i="74"/>
  <c r="E843" i="103"/>
  <c r="D135" i="74"/>
  <c r="D842" i="103"/>
  <c r="E134" i="74"/>
  <c r="E841" i="103"/>
  <c r="F136" i="74"/>
  <c r="F843" i="103"/>
  <c r="E135" i="74"/>
  <c r="E842" i="103"/>
  <c r="F134" i="74"/>
  <c r="F841" i="103"/>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c r="A58" i="26"/>
  <c r="G58" i="26"/>
  <c r="A1" i="25"/>
  <c r="A50" i="25"/>
  <c r="A1" i="26"/>
  <c r="B32" i="82"/>
  <c r="B35" i="82"/>
  <c r="B36" i="82"/>
  <c r="I60" i="68"/>
  <c r="J290" i="103"/>
  <c r="J291" i="103"/>
  <c r="J293" i="103"/>
  <c r="J296" i="103"/>
  <c r="P45" i="68"/>
  <c r="P88" i="103"/>
  <c r="H76" i="74"/>
  <c r="H783" i="103"/>
  <c r="I76" i="74"/>
  <c r="I783" i="103"/>
  <c r="J76" i="74"/>
  <c r="J783" i="103"/>
  <c r="K76" i="74"/>
  <c r="K783" i="103"/>
  <c r="I61" i="74"/>
  <c r="I768" i="103"/>
  <c r="I776" i="103"/>
  <c r="K29" i="74"/>
  <c r="K736" i="103"/>
  <c r="K744" i="103"/>
  <c r="F61" i="74"/>
  <c r="F768" i="103"/>
  <c r="F776" i="103"/>
  <c r="AI35" i="72"/>
  <c r="AH35" i="72"/>
  <c r="AG35" i="72"/>
  <c r="AF35" i="72"/>
  <c r="AE35" i="72"/>
  <c r="AD35" i="72"/>
  <c r="K93" i="74"/>
  <c r="K800" i="103"/>
  <c r="K807" i="103"/>
  <c r="C61" i="74"/>
  <c r="C768" i="103"/>
  <c r="C776" i="103"/>
  <c r="B123" i="74"/>
  <c r="B830" i="103"/>
  <c r="B837" i="103"/>
  <c r="D129" i="74"/>
  <c r="D829" i="103"/>
  <c r="D836" i="103"/>
  <c r="D56" i="86"/>
  <c r="B733" i="103"/>
  <c r="J1220" i="103"/>
  <c r="J69" i="102"/>
  <c r="B497" i="103"/>
  <c r="J94" i="72"/>
  <c r="Q667" i="103"/>
  <c r="B729" i="103"/>
  <c r="A3" i="83"/>
  <c r="O27" i="103"/>
  <c r="P451" i="103"/>
  <c r="C55" i="100"/>
  <c r="G49" i="98"/>
  <c r="L49" i="98"/>
  <c r="G50" i="98"/>
  <c r="L50" i="98"/>
  <c r="G60" i="98"/>
  <c r="L60" i="98"/>
  <c r="G59" i="98"/>
  <c r="L59" i="98"/>
  <c r="G67" i="98"/>
  <c r="L67" i="98"/>
  <c r="G70" i="98"/>
  <c r="L70" i="98"/>
  <c r="G64" i="98"/>
  <c r="L64" i="98"/>
  <c r="G71" i="98"/>
  <c r="G73" i="98"/>
  <c r="L73" i="98"/>
  <c r="G65" i="98"/>
  <c r="L65" i="98"/>
  <c r="G52" i="98"/>
  <c r="L52" i="98"/>
  <c r="G58" i="98"/>
  <c r="L58" i="98"/>
  <c r="G57" i="98"/>
  <c r="L57" i="98"/>
  <c r="G72" i="98"/>
  <c r="G51" i="98"/>
  <c r="L51" i="98"/>
  <c r="G63" i="98"/>
  <c r="L63" i="98"/>
  <c r="G66" i="98"/>
  <c r="L66" i="98"/>
  <c r="G56" i="98"/>
  <c r="L56" i="98"/>
  <c r="AD55" i="72"/>
  <c r="G53" i="98"/>
  <c r="L53" i="98"/>
  <c r="X55" i="72"/>
  <c r="E27" i="72"/>
  <c r="K90" i="74"/>
  <c r="K797" i="103"/>
  <c r="K58" i="74"/>
  <c r="K765" i="103"/>
  <c r="J90" i="74"/>
  <c r="B38" i="87"/>
  <c r="F58" i="74"/>
  <c r="F765" i="103"/>
  <c r="E26" i="74"/>
  <c r="E733" i="103"/>
  <c r="D58" i="74"/>
  <c r="D765" i="103"/>
  <c r="H58" i="74"/>
  <c r="H765" i="103"/>
  <c r="E58" i="74"/>
  <c r="E765" i="103"/>
  <c r="I90" i="74"/>
  <c r="I797" i="103"/>
  <c r="G90" i="74"/>
  <c r="G797" i="103"/>
  <c r="G58" i="74"/>
  <c r="G765" i="103"/>
  <c r="J26" i="74"/>
  <c r="J733" i="103"/>
  <c r="F90" i="74"/>
  <c r="F797" i="103"/>
  <c r="B58" i="74"/>
  <c r="B765" i="103"/>
  <c r="E120" i="74"/>
  <c r="E827" i="103"/>
  <c r="K26" i="74"/>
  <c r="E90" i="74"/>
  <c r="E797" i="103"/>
  <c r="D26" i="74"/>
  <c r="D733" i="103"/>
  <c r="C90" i="74"/>
  <c r="C797" i="103"/>
  <c r="C58" i="74"/>
  <c r="C765" i="103"/>
  <c r="F26" i="74"/>
  <c r="F733" i="103"/>
  <c r="F120" i="74"/>
  <c r="F827" i="103"/>
  <c r="B90" i="74"/>
  <c r="B797" i="103"/>
  <c r="H90" i="74"/>
  <c r="H797" i="103"/>
  <c r="C26" i="74"/>
  <c r="C733" i="103"/>
  <c r="I58" i="74"/>
  <c r="I765" i="103"/>
  <c r="D90" i="74"/>
  <c r="D797" i="103"/>
  <c r="G26" i="74"/>
  <c r="G733" i="103"/>
  <c r="C120" i="74"/>
  <c r="C827" i="103"/>
  <c r="C32" i="74"/>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c r="O384" i="72"/>
  <c r="J36" i="74"/>
  <c r="E36" i="74"/>
  <c r="P67" i="72"/>
  <c r="P66" i="72"/>
  <c r="J20" i="75"/>
  <c r="J467" i="103"/>
  <c r="L467" i="103"/>
  <c r="M467" i="103"/>
  <c r="K40" i="87"/>
  <c r="K36" i="74"/>
  <c r="H19" i="87"/>
  <c r="K18" i="87"/>
  <c r="K39" i="87"/>
  <c r="K21" i="87"/>
  <c r="I99" i="74"/>
  <c r="H37" i="87"/>
  <c r="E129" i="74"/>
  <c r="H43" i="87"/>
  <c r="K19" i="87"/>
  <c r="F36" i="74"/>
  <c r="K16" i="87"/>
  <c r="C36" i="74"/>
  <c r="H11" i="87"/>
  <c r="C34" i="84"/>
  <c r="A68" i="85"/>
  <c r="A22" i="83"/>
  <c r="D29" i="74"/>
  <c r="D736" i="103"/>
  <c r="D744" i="103"/>
  <c r="C93" i="74"/>
  <c r="C800" i="103"/>
  <c r="C807" i="103"/>
  <c r="H93" i="74"/>
  <c r="H800" i="103"/>
  <c r="H807" i="103"/>
  <c r="G93" i="74"/>
  <c r="G800" i="103"/>
  <c r="G807" i="103"/>
  <c r="B61" i="74"/>
  <c r="B768" i="103"/>
  <c r="B776" i="103"/>
  <c r="G61" i="74"/>
  <c r="G768" i="103"/>
  <c r="G776" i="103"/>
  <c r="D93" i="74"/>
  <c r="D800" i="103"/>
  <c r="D807" i="103"/>
  <c r="K61" i="74"/>
  <c r="K768" i="103"/>
  <c r="K776" i="103"/>
  <c r="E29" i="74"/>
  <c r="E736" i="103"/>
  <c r="E744" i="103"/>
  <c r="J37" i="74"/>
  <c r="E61" i="74"/>
  <c r="E768" i="103"/>
  <c r="E776" i="103"/>
  <c r="F29" i="74"/>
  <c r="F736" i="103"/>
  <c r="F744" i="103"/>
  <c r="G29" i="74"/>
  <c r="G736" i="103"/>
  <c r="G744" i="103"/>
  <c r="J61" i="74"/>
  <c r="J768" i="103"/>
  <c r="J776" i="103"/>
  <c r="K37" i="74"/>
  <c r="B29" i="74"/>
  <c r="B736" i="103"/>
  <c r="B744" i="103"/>
  <c r="C29" i="74"/>
  <c r="C736" i="103"/>
  <c r="C744" i="103"/>
  <c r="E123" i="74"/>
  <c r="E830" i="103"/>
  <c r="E837" i="103"/>
  <c r="I29" i="74"/>
  <c r="I736" i="103"/>
  <c r="I744" i="103"/>
  <c r="I93" i="74"/>
  <c r="I800" i="103"/>
  <c r="I807" i="103"/>
  <c r="C123" i="74"/>
  <c r="C830" i="103"/>
  <c r="C837" i="103"/>
  <c r="H61" i="74"/>
  <c r="H768" i="103"/>
  <c r="H776" i="103"/>
  <c r="B93" i="74"/>
  <c r="B800" i="103"/>
  <c r="B807" i="103"/>
  <c r="J93" i="74"/>
  <c r="J800" i="103"/>
  <c r="J807" i="103"/>
  <c r="D123" i="74"/>
  <c r="D830" i="103"/>
  <c r="D837" i="103"/>
  <c r="E93" i="74"/>
  <c r="E800" i="103"/>
  <c r="E807" i="103"/>
  <c r="F123" i="74"/>
  <c r="F830" i="103"/>
  <c r="F837" i="103"/>
  <c r="D61" i="74"/>
  <c r="D768" i="103"/>
  <c r="D776" i="103"/>
  <c r="F93" i="74"/>
  <c r="F800" i="103"/>
  <c r="F807" i="103"/>
  <c r="B64" i="74"/>
  <c r="K59" i="74"/>
  <c r="K766" i="103"/>
  <c r="K774" i="103"/>
  <c r="B37" i="87"/>
  <c r="I69" i="74"/>
  <c r="J99" i="74"/>
  <c r="B16" i="87"/>
  <c r="F99" i="74"/>
  <c r="B11" i="87"/>
  <c r="C128" i="74"/>
  <c r="E41" i="87"/>
  <c r="E21" i="87"/>
  <c r="F84" i="92"/>
  <c r="G36" i="74"/>
  <c r="B29" i="87"/>
  <c r="B30" i="87"/>
  <c r="H68" i="74"/>
  <c r="I36" i="74"/>
  <c r="D36" i="74"/>
  <c r="C68" i="74"/>
  <c r="B23" i="87"/>
  <c r="B10" i="87"/>
  <c r="B17" i="87"/>
  <c r="D99" i="74"/>
  <c r="B68" i="74"/>
  <c r="H36" i="74"/>
  <c r="G68" i="74"/>
  <c r="B42" i="87"/>
  <c r="B12" i="87"/>
  <c r="B27" i="87"/>
  <c r="B44" i="87"/>
  <c r="H99" i="74"/>
  <c r="B36" i="87"/>
  <c r="E39" i="87"/>
  <c r="B39" i="87"/>
  <c r="B40" i="87"/>
  <c r="B28" i="87"/>
  <c r="B129" i="74"/>
  <c r="J68" i="74"/>
  <c r="E99" i="74"/>
  <c r="F69" i="74"/>
  <c r="B33" i="87"/>
  <c r="D68" i="74"/>
  <c r="E16" i="87"/>
  <c r="B35" i="87"/>
  <c r="B22" i="87"/>
  <c r="B26" i="87"/>
  <c r="L266" i="72"/>
  <c r="E108" i="78"/>
  <c r="E221" i="103"/>
  <c r="J221" i="103"/>
  <c r="L46" i="75"/>
  <c r="L22" i="75"/>
  <c r="M22" i="75"/>
  <c r="L39" i="75"/>
  <c r="M39" i="75"/>
  <c r="L47" i="75"/>
  <c r="M47" i="75"/>
  <c r="L24" i="75"/>
  <c r="M24" i="75"/>
  <c r="L32" i="75"/>
  <c r="M32" i="75"/>
  <c r="L25" i="75"/>
  <c r="M25" i="75"/>
  <c r="L33" i="75"/>
  <c r="M33" i="75"/>
  <c r="L41" i="75"/>
  <c r="M41" i="75"/>
  <c r="L26" i="75"/>
  <c r="M26" i="75"/>
  <c r="L34" i="75"/>
  <c r="M34" i="75"/>
  <c r="L19" i="75"/>
  <c r="M19" i="75"/>
  <c r="L27" i="75"/>
  <c r="M27" i="75"/>
  <c r="L35" i="75"/>
  <c r="M35" i="75"/>
  <c r="L43" i="75"/>
  <c r="M43" i="75"/>
  <c r="L28" i="75"/>
  <c r="M28" i="75"/>
  <c r="L36" i="75"/>
  <c r="M36" i="75"/>
  <c r="L29" i="75"/>
  <c r="M29" i="75"/>
  <c r="L37" i="75"/>
  <c r="M37" i="75"/>
  <c r="C32" i="86"/>
  <c r="G32" i="86"/>
  <c r="I11" i="86"/>
  <c r="I12" i="86"/>
  <c r="L30" i="75"/>
  <c r="M30" i="75"/>
  <c r="L38" i="75"/>
  <c r="M38" i="75"/>
  <c r="L40" i="75"/>
  <c r="M40" i="75"/>
  <c r="L48" i="75"/>
  <c r="M48" i="75"/>
  <c r="L42" i="75"/>
  <c r="M42" i="75"/>
  <c r="L31" i="75"/>
  <c r="M31" i="75"/>
  <c r="L44" i="75"/>
  <c r="M44" i="75"/>
  <c r="L18" i="75"/>
  <c r="M18" i="75"/>
  <c r="L45" i="75"/>
  <c r="M45" i="75"/>
  <c r="Q266" i="72"/>
  <c r="C64" i="74"/>
  <c r="F55" i="78"/>
  <c r="B5" i="92"/>
  <c r="J21" i="75"/>
  <c r="J468" i="103"/>
  <c r="L468" i="103"/>
  <c r="M468" i="103"/>
  <c r="F40" i="78"/>
  <c r="D32" i="74"/>
  <c r="F38" i="78"/>
  <c r="J23" i="75"/>
  <c r="J470" i="103"/>
  <c r="L470" i="103"/>
  <c r="M470" i="103"/>
  <c r="I32" i="74"/>
  <c r="H32" i="74"/>
  <c r="C21" i="90"/>
  <c r="K32" i="74"/>
  <c r="G32" i="74"/>
  <c r="E31" i="86"/>
  <c r="F16" i="86"/>
  <c r="M146" i="78"/>
  <c r="M162" i="78"/>
  <c r="M164" i="78"/>
  <c r="M166" i="78"/>
  <c r="S146" i="78"/>
  <c r="P146" i="78"/>
  <c r="P162" i="78"/>
  <c r="P164" i="78"/>
  <c r="P166" i="78"/>
  <c r="V146" i="78"/>
  <c r="K60" i="84"/>
  <c r="G60" i="84"/>
  <c r="I60" i="84"/>
  <c r="K59" i="84"/>
  <c r="G61" i="84"/>
  <c r="I61" i="84"/>
  <c r="K61" i="84"/>
  <c r="E61" i="84"/>
  <c r="FU49" i="75"/>
  <c r="N165" i="75"/>
  <c r="JT49" i="75"/>
  <c r="HD49" i="75"/>
  <c r="N117" i="75"/>
  <c r="HY49" i="75"/>
  <c r="IW49" i="75"/>
  <c r="N143" i="75"/>
  <c r="JH49" i="75"/>
  <c r="O141" i="75"/>
  <c r="MS49" i="75"/>
  <c r="EG49" i="75"/>
  <c r="N66" i="75"/>
  <c r="FY49" i="75"/>
  <c r="GL49" i="75"/>
  <c r="K114" i="75"/>
  <c r="GT49" i="75"/>
  <c r="IB49" i="75"/>
  <c r="KC49" i="75"/>
  <c r="MK49" i="75"/>
  <c r="C58" i="84"/>
  <c r="FT49" i="75"/>
  <c r="M165" i="75"/>
  <c r="M15" i="75"/>
  <c r="GC49" i="75"/>
  <c r="L167" i="75"/>
  <c r="IF49" i="75"/>
  <c r="L136" i="75"/>
  <c r="E59" i="84"/>
  <c r="M17" i="75"/>
  <c r="I59" i="84"/>
  <c r="G59" i="84"/>
  <c r="M46" i="75"/>
  <c r="M13" i="75"/>
  <c r="IR49" i="75"/>
  <c r="N142" i="75"/>
  <c r="F126" i="78"/>
  <c r="F239" i="103"/>
  <c r="D45" i="68"/>
  <c r="D88" i="103"/>
  <c r="F122" i="78"/>
  <c r="F235" i="103"/>
  <c r="C135" i="90"/>
  <c r="L65" i="85"/>
  <c r="F125" i="78"/>
  <c r="F238" i="103"/>
  <c r="BR49" i="75"/>
  <c r="L98" i="75"/>
  <c r="DD49" i="75"/>
  <c r="O109" i="75"/>
  <c r="LI49" i="75"/>
  <c r="CD49" i="75"/>
  <c r="N96" i="75"/>
  <c r="DQ49" i="75"/>
  <c r="M106" i="75"/>
  <c r="LZ49" i="75"/>
  <c r="EZ49" i="75"/>
  <c r="M160" i="75"/>
  <c r="CG49" i="75"/>
  <c r="L95" i="75"/>
  <c r="DO49" i="75"/>
  <c r="K106" i="75"/>
  <c r="DN49" i="75"/>
  <c r="O107" i="75"/>
  <c r="II49" i="75"/>
  <c r="O136" i="75"/>
  <c r="JM49" i="75"/>
  <c r="O138" i="75"/>
  <c r="O149" i="75"/>
  <c r="GK49" i="75"/>
  <c r="O113" i="75"/>
  <c r="DJ49" i="75"/>
  <c r="K107" i="75"/>
  <c r="DS49" i="75"/>
  <c r="O106" i="75"/>
  <c r="MR49" i="75"/>
  <c r="HT49" i="75"/>
  <c r="O120" i="75"/>
  <c r="BG49" i="75"/>
  <c r="K64" i="75"/>
  <c r="BH49" i="75"/>
  <c r="L64" i="75"/>
  <c r="FR49" i="75"/>
  <c r="K165" i="75"/>
  <c r="FZ49" i="75"/>
  <c r="GU49" i="75"/>
  <c r="HU49" i="75"/>
  <c r="IS49" i="75"/>
  <c r="O142" i="75"/>
  <c r="JQ49" i="75"/>
  <c r="N139" i="75"/>
  <c r="N150" i="75"/>
  <c r="KD49" i="75"/>
  <c r="ML49" i="75"/>
  <c r="AV49" i="75"/>
  <c r="O60" i="75"/>
  <c r="AZ49" i="75"/>
  <c r="N61" i="75"/>
  <c r="DA49" i="75"/>
  <c r="L109" i="75"/>
  <c r="AG49" i="75"/>
  <c r="O57" i="75"/>
  <c r="LQ49" i="75"/>
  <c r="LY49" i="75"/>
  <c r="IT49" i="75"/>
  <c r="K143" i="75"/>
  <c r="BF49" i="75"/>
  <c r="O62" i="75"/>
  <c r="MA49" i="75"/>
  <c r="AC49" i="75"/>
  <c r="K57" i="75"/>
  <c r="FF49" i="75"/>
  <c r="N161" i="75"/>
  <c r="LM49" i="75"/>
  <c r="LU49" i="75"/>
  <c r="MC49" i="75"/>
  <c r="G16" i="86"/>
  <c r="C16" i="86"/>
  <c r="E172" i="90"/>
  <c r="E16" i="86"/>
  <c r="HO49" i="75"/>
  <c r="O119" i="75"/>
  <c r="FB49" i="75"/>
  <c r="O160" i="75"/>
  <c r="AB49" i="75"/>
  <c r="O56" i="75"/>
  <c r="AH49" i="75"/>
  <c r="K58" i="75"/>
  <c r="AO49" i="75"/>
  <c r="M59" i="75"/>
  <c r="FJ49" i="75"/>
  <c r="M162" i="75"/>
  <c r="GY49" i="75"/>
  <c r="N116" i="75"/>
  <c r="AY49" i="75"/>
  <c r="M61" i="75"/>
  <c r="CZ49" i="75"/>
  <c r="K109" i="75"/>
  <c r="AM49" i="75"/>
  <c r="K59" i="75"/>
  <c r="BD49" i="75"/>
  <c r="M62" i="75"/>
  <c r="FI49" i="75"/>
  <c r="L162" i="75"/>
  <c r="GW49" i="75"/>
  <c r="L116" i="75"/>
  <c r="AW49" i="75"/>
  <c r="K61" i="75"/>
  <c r="BT49" i="75"/>
  <c r="N98" i="75"/>
  <c r="X49" i="75"/>
  <c r="K56" i="75"/>
  <c r="AT49" i="75"/>
  <c r="M60" i="75"/>
  <c r="AE49" i="75"/>
  <c r="M57" i="75"/>
  <c r="EH49" i="75"/>
  <c r="O66" i="75"/>
  <c r="EL49" i="75"/>
  <c r="N157" i="75"/>
  <c r="HM49" i="75"/>
  <c r="M119" i="75"/>
  <c r="EA49" i="75"/>
  <c r="M104" i="75"/>
  <c r="GH49" i="75"/>
  <c r="L113" i="75"/>
  <c r="GZ49" i="75"/>
  <c r="O116" i="75"/>
  <c r="LL49" i="75"/>
  <c r="LT49" i="75"/>
  <c r="MB49" i="75"/>
  <c r="AS49" i="75"/>
  <c r="L60" i="75"/>
  <c r="DL49" i="75"/>
  <c r="M107" i="75"/>
  <c r="CI49" i="75"/>
  <c r="N95" i="75"/>
  <c r="AR49" i="75"/>
  <c r="K60" i="75"/>
  <c r="AJ49" i="75"/>
  <c r="M58" i="75"/>
  <c r="AQ49" i="75"/>
  <c r="O59" i="75"/>
  <c r="FE49" i="75"/>
  <c r="M161" i="75"/>
  <c r="AL49" i="75"/>
  <c r="O58" i="75"/>
  <c r="BB49" i="75"/>
  <c r="K62" i="75"/>
  <c r="CB49" i="75"/>
  <c r="L96" i="75"/>
  <c r="LH49" i="75"/>
  <c r="Z49" i="75"/>
  <c r="M56" i="75"/>
  <c r="GV49" i="75"/>
  <c r="K116" i="75"/>
  <c r="HN49" i="75"/>
  <c r="N119" i="75"/>
  <c r="BS49" i="75"/>
  <c r="M98" i="75"/>
  <c r="AA49" i="75"/>
  <c r="N56" i="75"/>
  <c r="AN49" i="75"/>
  <c r="L59" i="75"/>
  <c r="BE49" i="75"/>
  <c r="N62" i="75"/>
  <c r="BK49" i="75"/>
  <c r="O64" i="75"/>
  <c r="GP49" i="75"/>
  <c r="O114" i="75"/>
  <c r="HX49" i="75"/>
  <c r="IN49" i="75"/>
  <c r="O137" i="75"/>
  <c r="IV49" i="75"/>
  <c r="M143" i="75"/>
  <c r="JD49" i="75"/>
  <c r="K141" i="75"/>
  <c r="JL49" i="75"/>
  <c r="N138" i="75"/>
  <c r="N149" i="75"/>
  <c r="KG49" i="75"/>
  <c r="MG49" i="75"/>
  <c r="MO49" i="75"/>
  <c r="GI49" i="75"/>
  <c r="M113" i="75"/>
  <c r="HK49" i="75"/>
  <c r="K119" i="75"/>
  <c r="BA49" i="75"/>
  <c r="O61" i="75"/>
  <c r="DB49" i="75"/>
  <c r="M109" i="75"/>
  <c r="GJ49" i="75"/>
  <c r="N113" i="75"/>
  <c r="HL49" i="75"/>
  <c r="L119" i="75"/>
  <c r="BQ49" i="75"/>
  <c r="K98" i="75"/>
  <c r="DC49" i="75"/>
  <c r="N109" i="75"/>
  <c r="AD49" i="75"/>
  <c r="L57" i="75"/>
  <c r="AK49" i="75"/>
  <c r="N58" i="75"/>
  <c r="FK49" i="75"/>
  <c r="N162" i="75"/>
  <c r="EX49" i="75"/>
  <c r="K160" i="75"/>
  <c r="Y49" i="75"/>
  <c r="L56" i="75"/>
  <c r="AU49" i="75"/>
  <c r="N60" i="75"/>
  <c r="AF49" i="75"/>
  <c r="N57" i="75"/>
  <c r="BC49" i="75"/>
  <c r="L62" i="75"/>
  <c r="HH49" i="75"/>
  <c r="MT49" i="75"/>
  <c r="GX49" i="75"/>
  <c r="M116" i="75"/>
  <c r="CE49" i="75"/>
  <c r="O96" i="75"/>
  <c r="CF49" i="75"/>
  <c r="K95" i="75"/>
  <c r="DR49" i="75"/>
  <c r="N106" i="75"/>
  <c r="AX49" i="75"/>
  <c r="L61" i="75"/>
  <c r="BU49" i="75"/>
  <c r="O98" i="75"/>
  <c r="EB49" i="75"/>
  <c r="N104" i="75"/>
  <c r="FH49" i="75"/>
  <c r="K162" i="75"/>
  <c r="FC49" i="75"/>
  <c r="K161" i="75"/>
  <c r="LN49" i="75"/>
  <c r="LV49" i="75"/>
  <c r="MD49" i="75"/>
  <c r="BI49" i="75"/>
  <c r="M64" i="75"/>
  <c r="FS49" i="75"/>
  <c r="L165" i="75"/>
  <c r="GA49" i="75"/>
  <c r="GN49" i="75"/>
  <c r="M114" i="75"/>
  <c r="HA49" i="75"/>
  <c r="K117" i="75"/>
  <c r="HI49" i="75"/>
  <c r="ID49" i="75"/>
  <c r="JB49" i="75"/>
  <c r="N140" i="75"/>
  <c r="JJ49" i="75"/>
  <c r="L138" i="75"/>
  <c r="L149" i="75"/>
  <c r="JR49" i="75"/>
  <c r="O139" i="75"/>
  <c r="O150" i="75"/>
  <c r="KE49" i="75"/>
  <c r="MM49" i="75"/>
  <c r="GG49" i="75"/>
  <c r="K113" i="75"/>
  <c r="CP49" i="75"/>
  <c r="K93" i="75"/>
  <c r="FD49" i="75"/>
  <c r="L161" i="75"/>
  <c r="LG49" i="75"/>
  <c r="LO49" i="75"/>
  <c r="LW49" i="75"/>
  <c r="ME49" i="75"/>
  <c r="BJ49" i="75"/>
  <c r="N64" i="75"/>
  <c r="GB49" i="75"/>
  <c r="K167" i="75"/>
  <c r="HB49" i="75"/>
  <c r="L117" i="75"/>
  <c r="HJ49" i="75"/>
  <c r="IE49" i="75"/>
  <c r="K136" i="75"/>
  <c r="IM49" i="75"/>
  <c r="N137" i="75"/>
  <c r="JC49" i="75"/>
  <c r="O140" i="75"/>
  <c r="JK49" i="75"/>
  <c r="M138" i="75"/>
  <c r="M149" i="75"/>
  <c r="JS49" i="75"/>
  <c r="KF49" i="75"/>
  <c r="MF49" i="75"/>
  <c r="MN49" i="75"/>
  <c r="DK49" i="75"/>
  <c r="L107" i="75"/>
  <c r="CH49" i="75"/>
  <c r="M95" i="75"/>
  <c r="AI49" i="75"/>
  <c r="L58" i="75"/>
  <c r="AP49" i="75"/>
  <c r="N59" i="75"/>
  <c r="CS49" i="75"/>
  <c r="N93" i="75"/>
  <c r="FA49" i="75"/>
  <c r="N160" i="75"/>
  <c r="LP49" i="75"/>
  <c r="LX49" i="75"/>
  <c r="ED49" i="75"/>
  <c r="K66" i="75"/>
  <c r="FV49" i="75"/>
  <c r="O165" i="75"/>
  <c r="GQ49" i="75"/>
  <c r="HQ49" i="75"/>
  <c r="L120" i="75"/>
  <c r="IO49" i="75"/>
  <c r="K142" i="75"/>
  <c r="JE49" i="75"/>
  <c r="L141" i="75"/>
  <c r="MH49" i="75"/>
  <c r="CA49" i="75"/>
  <c r="K96" i="75"/>
  <c r="DM49" i="75"/>
  <c r="N107" i="75"/>
  <c r="CJ49" i="75"/>
  <c r="O95" i="75"/>
  <c r="FL49" i="75"/>
  <c r="O162" i="75"/>
  <c r="EY49" i="75"/>
  <c r="L160" i="75"/>
  <c r="EP49" i="75"/>
  <c r="M158" i="75"/>
  <c r="FG49" i="75"/>
  <c r="O161" i="75"/>
  <c r="LJ49" i="75"/>
  <c r="LR49" i="75"/>
  <c r="EE49" i="75"/>
  <c r="L66" i="75"/>
  <c r="IX49" i="75"/>
  <c r="O143" i="75"/>
  <c r="MQ49" i="75"/>
  <c r="LK49" i="75"/>
  <c r="LS49" i="75"/>
  <c r="EF49" i="75"/>
  <c r="M66" i="75"/>
  <c r="FX49" i="75"/>
  <c r="GS49" i="75"/>
  <c r="HF49" i="75"/>
  <c r="HS49" i="75"/>
  <c r="N120" i="75"/>
  <c r="IQ49" i="75"/>
  <c r="M142" i="75"/>
  <c r="IY49" i="75"/>
  <c r="K140" i="75"/>
  <c r="JG49" i="75"/>
  <c r="N141" i="75"/>
  <c r="JO49" i="75"/>
  <c r="L139" i="75"/>
  <c r="L150" i="75"/>
  <c r="JW49" i="75"/>
  <c r="MJ49" i="75"/>
  <c r="CC49" i="75"/>
  <c r="M96" i="75"/>
  <c r="DP49" i="75"/>
  <c r="L106" i="75"/>
  <c r="DT49" i="75"/>
  <c r="K105" i="75"/>
  <c r="FN49" i="75"/>
  <c r="L163" i="75"/>
  <c r="CQ49" i="75"/>
  <c r="L93" i="75"/>
  <c r="CX49" i="75"/>
  <c r="N110" i="75"/>
  <c r="Q220" i="75"/>
  <c r="HC49" i="75"/>
  <c r="M117" i="75"/>
  <c r="EN49" i="75"/>
  <c r="K158" i="75"/>
  <c r="GF49" i="75"/>
  <c r="O167" i="75"/>
  <c r="DZ49" i="75"/>
  <c r="L104" i="75"/>
  <c r="IC49" i="75"/>
  <c r="IK49" i="75"/>
  <c r="L137" i="75"/>
  <c r="EI49" i="75"/>
  <c r="K157" i="75"/>
  <c r="FP49" i="75"/>
  <c r="N163" i="75"/>
  <c r="HV49" i="75"/>
  <c r="BO49" i="75"/>
  <c r="N99" i="75"/>
  <c r="CN49" i="75"/>
  <c r="N94" i="75"/>
  <c r="CK49" i="75"/>
  <c r="K94" i="75"/>
  <c r="CW49" i="75"/>
  <c r="M110" i="75"/>
  <c r="GO49" i="75"/>
  <c r="N114" i="75"/>
  <c r="HW49" i="75"/>
  <c r="IU49" i="75"/>
  <c r="L143" i="75"/>
  <c r="EJ49" i="75"/>
  <c r="L157" i="75"/>
  <c r="EK49" i="75"/>
  <c r="M157" i="75"/>
  <c r="ER49" i="75"/>
  <c r="O158" i="75"/>
  <c r="FM49" i="75"/>
  <c r="K163" i="75"/>
  <c r="FW49" i="75"/>
  <c r="GE49" i="75"/>
  <c r="N167" i="75"/>
  <c r="GR49" i="75"/>
  <c r="HE49" i="75"/>
  <c r="O117" i="75"/>
  <c r="HR49" i="75"/>
  <c r="M120" i="75"/>
  <c r="HZ49" i="75"/>
  <c r="IH49" i="75"/>
  <c r="N136" i="75"/>
  <c r="IP49" i="75"/>
  <c r="L142" i="75"/>
  <c r="JF49" i="75"/>
  <c r="M141" i="75"/>
  <c r="JN49" i="75"/>
  <c r="K139" i="75"/>
  <c r="K150" i="75"/>
  <c r="JV49" i="75"/>
  <c r="MI49" i="75"/>
  <c r="DX49" i="75"/>
  <c r="O105" i="75"/>
  <c r="BL49" i="75"/>
  <c r="K99" i="75"/>
  <c r="BX49" i="75"/>
  <c r="M97" i="75"/>
  <c r="CT49" i="75"/>
  <c r="O93" i="75"/>
  <c r="CU49" i="75"/>
  <c r="K110" i="75"/>
  <c r="CV49" i="75"/>
  <c r="L110" i="75"/>
  <c r="DG49" i="75"/>
  <c r="M108" i="75"/>
  <c r="DF49" i="75"/>
  <c r="L108" i="75"/>
  <c r="DV49" i="75"/>
  <c r="M105" i="75"/>
  <c r="DW49" i="75"/>
  <c r="N105" i="75"/>
  <c r="EC49" i="75"/>
  <c r="O104" i="75"/>
  <c r="EU49" i="75"/>
  <c r="M159" i="75"/>
  <c r="D41" i="78"/>
  <c r="P4" i="75"/>
  <c r="I10" i="66"/>
  <c r="L51" i="68"/>
  <c r="L94" i="103"/>
  <c r="N94" i="103"/>
  <c r="C21" i="86"/>
  <c r="C41" i="86"/>
  <c r="D41" i="86"/>
  <c r="E41" i="86"/>
  <c r="A47" i="84"/>
  <c r="G5" i="92"/>
  <c r="K65" i="82"/>
  <c r="K67" i="74"/>
  <c r="E51" i="86"/>
  <c r="B130" i="74"/>
  <c r="I59" i="74"/>
  <c r="I766" i="103"/>
  <c r="I774" i="103"/>
  <c r="D27" i="74"/>
  <c r="D734" i="103"/>
  <c r="D742" i="103"/>
  <c r="C91" i="74"/>
  <c r="C798" i="103"/>
  <c r="C805" i="103"/>
  <c r="G91" i="74"/>
  <c r="G798" i="103"/>
  <c r="G805" i="103"/>
  <c r="H35" i="74"/>
  <c r="K100" i="74"/>
  <c r="I91" i="74"/>
  <c r="I798" i="103"/>
  <c r="I805" i="103"/>
  <c r="E59" i="74"/>
  <c r="E766" i="103"/>
  <c r="E774" i="103"/>
  <c r="I27" i="74"/>
  <c r="I734" i="103"/>
  <c r="I742" i="103"/>
  <c r="F59" i="74"/>
  <c r="F766" i="103"/>
  <c r="F774" i="103"/>
  <c r="J177" i="78"/>
  <c r="E91" i="74"/>
  <c r="E798" i="103"/>
  <c r="E805" i="103"/>
  <c r="H59" i="74"/>
  <c r="H766" i="103"/>
  <c r="H774" i="103"/>
  <c r="K27" i="74"/>
  <c r="K734" i="103"/>
  <c r="K742" i="103"/>
  <c r="F91" i="74"/>
  <c r="F798" i="103"/>
  <c r="F805" i="103"/>
  <c r="B27" i="74"/>
  <c r="B734" i="103"/>
  <c r="B742" i="103"/>
  <c r="I32" i="86"/>
  <c r="F51" i="86"/>
  <c r="D32" i="86"/>
  <c r="F12" i="86"/>
  <c r="H91" i="74"/>
  <c r="H798" i="103"/>
  <c r="H805" i="103"/>
  <c r="D59" i="74"/>
  <c r="D766" i="103"/>
  <c r="D774" i="103"/>
  <c r="G27" i="74"/>
  <c r="G734" i="103"/>
  <c r="G742" i="103"/>
  <c r="G59" i="74"/>
  <c r="G766" i="103"/>
  <c r="G774" i="103"/>
  <c r="D121" i="74"/>
  <c r="D828" i="103"/>
  <c r="D835" i="103"/>
  <c r="F121" i="74"/>
  <c r="F828" i="103"/>
  <c r="F835" i="103"/>
  <c r="D91" i="74"/>
  <c r="D798" i="103"/>
  <c r="D805" i="103"/>
  <c r="C27" i="74"/>
  <c r="C734" i="103"/>
  <c r="C742" i="103"/>
  <c r="J27" i="74"/>
  <c r="J734" i="103"/>
  <c r="J742" i="103"/>
  <c r="E27" i="74"/>
  <c r="E734" i="103"/>
  <c r="E742" i="103"/>
  <c r="E32" i="74"/>
  <c r="C99" i="74"/>
  <c r="E32" i="86"/>
  <c r="F11" i="86"/>
  <c r="J59" i="74"/>
  <c r="J766" i="103"/>
  <c r="J774" i="103"/>
  <c r="F27" i="74"/>
  <c r="F734" i="103"/>
  <c r="F742" i="103"/>
  <c r="J91" i="74"/>
  <c r="J798" i="103"/>
  <c r="J805" i="103"/>
  <c r="E64" i="74"/>
  <c r="B121" i="74"/>
  <c r="B828" i="103"/>
  <c r="B835" i="103"/>
  <c r="E121" i="74"/>
  <c r="E828" i="103"/>
  <c r="E835" i="103"/>
  <c r="B59" i="74"/>
  <c r="B766" i="103"/>
  <c r="B774" i="103"/>
  <c r="B91" i="74"/>
  <c r="B798" i="103"/>
  <c r="B805" i="103"/>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c r="G36" i="86"/>
  <c r="H56" i="86"/>
  <c r="C56" i="86"/>
  <c r="K68" i="74"/>
  <c r="C67" i="74"/>
  <c r="D11" i="86"/>
  <c r="C36" i="86"/>
  <c r="H36" i="86"/>
  <c r="D36" i="86"/>
  <c r="G12" i="86"/>
  <c r="C31" i="74"/>
  <c r="C738" i="103"/>
  <c r="H16" i="86"/>
  <c r="I16" i="86"/>
  <c r="D64" i="74"/>
  <c r="F32" i="74"/>
  <c r="G51" i="86"/>
  <c r="C52" i="86"/>
  <c r="I31" i="86"/>
  <c r="G52" i="86"/>
  <c r="D51" i="86"/>
  <c r="H51" i="86"/>
  <c r="F64" i="74"/>
  <c r="F31" i="86"/>
  <c r="J32" i="74"/>
  <c r="F52" i="86"/>
  <c r="H31" i="86"/>
  <c r="H37" i="74"/>
  <c r="G11" i="86"/>
  <c r="E11" i="86"/>
  <c r="A49" i="75"/>
  <c r="A6" i="75"/>
  <c r="GD49" i="75"/>
  <c r="M167" i="75"/>
  <c r="IG49" i="75"/>
  <c r="M136" i="75"/>
  <c r="JU49" i="75"/>
  <c r="MP49" i="75"/>
  <c r="HG49" i="75"/>
  <c r="IJ49" i="75"/>
  <c r="K137" i="75"/>
  <c r="IZ49" i="75"/>
  <c r="L140" i="75"/>
  <c r="JP49" i="75"/>
  <c r="M139" i="75"/>
  <c r="M150" i="75"/>
  <c r="F124" i="78"/>
  <c r="F237" i="103"/>
  <c r="C55" i="84"/>
  <c r="GM49" i="75"/>
  <c r="L114" i="75"/>
  <c r="JA49" i="75"/>
  <c r="M140" i="75"/>
  <c r="JI49" i="75"/>
  <c r="K138" i="75"/>
  <c r="K149" i="75"/>
  <c r="IL49" i="75"/>
  <c r="M137" i="75"/>
  <c r="G146" i="78"/>
  <c r="I104" i="103"/>
  <c r="D14" i="74"/>
  <c r="D22" i="74"/>
  <c r="D729" i="103"/>
  <c r="C24" i="74"/>
  <c r="C731" i="103"/>
  <c r="J146" i="78"/>
  <c r="J162" i="78"/>
  <c r="HP49" i="75"/>
  <c r="K120" i="75"/>
  <c r="IA49" i="75"/>
  <c r="H45" i="82"/>
  <c r="A2" i="84"/>
  <c r="O22" i="86"/>
  <c r="O12" i="86"/>
  <c r="BM49" i="75"/>
  <c r="L99" i="75"/>
  <c r="BY49" i="75"/>
  <c r="N97" i="75"/>
  <c r="CR49" i="75"/>
  <c r="M93" i="75"/>
  <c r="BP49" i="75"/>
  <c r="O99" i="75"/>
  <c r="BN49" i="75"/>
  <c r="M99" i="75"/>
  <c r="BW49" i="75"/>
  <c r="L97" i="75"/>
  <c r="BZ49" i="75"/>
  <c r="O97" i="75"/>
  <c r="CM49" i="75"/>
  <c r="M94" i="75"/>
  <c r="CY49" i="75"/>
  <c r="O110" i="75"/>
  <c r="DI49" i="75"/>
  <c r="O108" i="75"/>
  <c r="ET49" i="75"/>
  <c r="L159" i="75"/>
  <c r="BV49" i="75"/>
  <c r="K97" i="75"/>
  <c r="CO49" i="75"/>
  <c r="O94" i="75"/>
  <c r="DE49" i="75"/>
  <c r="K108" i="75"/>
  <c r="DH49" i="75"/>
  <c r="N108" i="75"/>
  <c r="ES49" i="75"/>
  <c r="K159" i="75"/>
  <c r="EV49" i="75"/>
  <c r="N159" i="75"/>
  <c r="DY49" i="75"/>
  <c r="K104" i="75"/>
  <c r="EQ49" i="75"/>
  <c r="N158" i="75"/>
  <c r="FQ49" i="75"/>
  <c r="O163" i="75"/>
  <c r="DU49" i="75"/>
  <c r="L105" i="75"/>
  <c r="EM49" i="75"/>
  <c r="O157" i="75"/>
  <c r="EO49" i="75"/>
  <c r="L158" i="75"/>
  <c r="FO49" i="75"/>
  <c r="M163" i="75"/>
  <c r="CL49" i="75"/>
  <c r="L94" i="75"/>
  <c r="L102" i="75"/>
  <c r="EW49" i="75"/>
  <c r="O159" i="75"/>
  <c r="L145" i="75"/>
  <c r="L397" i="72"/>
  <c r="L52" i="68"/>
  <c r="L95" i="103"/>
  <c r="N95" i="103"/>
  <c r="M67" i="85"/>
  <c r="E13" i="72"/>
  <c r="P268" i="72"/>
  <c r="B43" i="87"/>
  <c r="B20" i="87"/>
  <c r="E130" i="74"/>
  <c r="L71" i="98"/>
  <c r="I71" i="98"/>
  <c r="L72" i="98"/>
  <c r="I72" i="98"/>
  <c r="C75" i="100"/>
  <c r="K75" i="100"/>
  <c r="K77" i="100"/>
  <c r="B13" i="87"/>
  <c r="B34" i="87"/>
  <c r="B41" i="87"/>
  <c r="B14" i="87"/>
  <c r="M496" i="103"/>
  <c r="M497" i="103"/>
  <c r="P94" i="103"/>
  <c r="P95" i="103"/>
  <c r="I105" i="103"/>
  <c r="E739" i="103"/>
  <c r="E771" i="103"/>
  <c r="B771" i="103"/>
  <c r="H739" i="103"/>
  <c r="I739" i="103"/>
  <c r="C771" i="103"/>
  <c r="J739" i="103"/>
  <c r="C739" i="103"/>
  <c r="K739" i="103"/>
  <c r="B739" i="103"/>
  <c r="B44" i="74"/>
  <c r="B751" i="103"/>
  <c r="F739" i="103"/>
  <c r="D739" i="103"/>
  <c r="F771" i="103"/>
  <c r="D771" i="103"/>
  <c r="G739" i="103"/>
  <c r="B32" i="87"/>
  <c r="B31" i="87"/>
  <c r="B25" i="87"/>
  <c r="J797" i="103"/>
  <c r="C40" i="74"/>
  <c r="D40" i="74"/>
  <c r="D747" i="103"/>
  <c r="K733" i="103"/>
  <c r="E75" i="100"/>
  <c r="E77" i="100"/>
  <c r="Q675" i="103"/>
  <c r="O669" i="103"/>
  <c r="O668" i="103"/>
  <c r="E55" i="100"/>
  <c r="I55" i="100"/>
  <c r="G55" i="100"/>
  <c r="K55" i="100"/>
  <c r="L34" i="68"/>
  <c r="L77" i="103"/>
  <c r="L78" i="103"/>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c r="A21" i="83"/>
  <c r="H15" i="84"/>
  <c r="J69" i="74"/>
  <c r="R117" i="74"/>
  <c r="S117" i="74"/>
  <c r="F100" i="74"/>
  <c r="G69" i="74"/>
  <c r="H56" i="73"/>
  <c r="F37" i="78"/>
  <c r="H18" i="84"/>
  <c r="J18" i="84"/>
  <c r="K129" i="72"/>
  <c r="I129" i="72"/>
  <c r="E65" i="82"/>
  <c r="B45" i="82"/>
  <c r="C75" i="84"/>
  <c r="I75" i="84"/>
  <c r="I77" i="84"/>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AC63"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c r="I65" i="82"/>
  <c r="L23" i="75"/>
  <c r="M23" i="75"/>
  <c r="L21" i="75"/>
  <c r="M21" i="75"/>
  <c r="L147" i="75"/>
  <c r="D45" i="82"/>
  <c r="E35" i="74"/>
  <c r="D35" i="74"/>
  <c r="E45" i="82"/>
  <c r="E41" i="78"/>
  <c r="G37" i="78"/>
  <c r="I58" i="84"/>
  <c r="I62" i="84"/>
  <c r="K58" i="84"/>
  <c r="K62" i="84"/>
  <c r="G58" i="84"/>
  <c r="G62" i="84"/>
  <c r="E58" i="84"/>
  <c r="E62" i="84"/>
  <c r="N147" i="75"/>
  <c r="F52" i="98"/>
  <c r="C62" i="84"/>
  <c r="M63" i="75"/>
  <c r="G32" i="95"/>
  <c r="O147" i="75"/>
  <c r="F53" i="98"/>
  <c r="P98" i="75"/>
  <c r="O148" i="75"/>
  <c r="O115" i="75"/>
  <c r="O121" i="75"/>
  <c r="N148" i="75"/>
  <c r="K52" i="98"/>
  <c r="K63" i="75"/>
  <c r="P56" i="75"/>
  <c r="P106" i="75"/>
  <c r="P66" i="75"/>
  <c r="N118" i="75"/>
  <c r="Q240" i="75"/>
  <c r="Q687" i="103"/>
  <c r="P240" i="75"/>
  <c r="P162" i="75"/>
  <c r="P59" i="75"/>
  <c r="L118" i="75"/>
  <c r="O118" i="75"/>
  <c r="P142" i="75"/>
  <c r="M118" i="75"/>
  <c r="P167" i="75"/>
  <c r="P239" i="75"/>
  <c r="P116" i="75"/>
  <c r="L121" i="75"/>
  <c r="P165" i="75"/>
  <c r="P107" i="75"/>
  <c r="O63" i="75"/>
  <c r="I32" i="95"/>
  <c r="M115" i="75"/>
  <c r="P62" i="75"/>
  <c r="P60" i="75"/>
  <c r="N100" i="75"/>
  <c r="N121" i="75"/>
  <c r="P119" i="75"/>
  <c r="P163" i="75"/>
  <c r="P58" i="75"/>
  <c r="P161" i="75"/>
  <c r="L63" i="75"/>
  <c r="F32" i="95"/>
  <c r="K118" i="75"/>
  <c r="P61" i="75"/>
  <c r="C68" i="84"/>
  <c r="K68" i="84"/>
  <c r="N115" i="75"/>
  <c r="L111" i="75"/>
  <c r="P141" i="75"/>
  <c r="P64" i="75"/>
  <c r="D34" i="90"/>
  <c r="K115" i="75"/>
  <c r="P95" i="75"/>
  <c r="P57" i="75"/>
  <c r="P160" i="75"/>
  <c r="P109" i="75"/>
  <c r="P96" i="75"/>
  <c r="N63" i="75"/>
  <c r="H32" i="95"/>
  <c r="P113" i="75"/>
  <c r="K147" i="75"/>
  <c r="L164" i="75"/>
  <c r="L166" i="75"/>
  <c r="L168" i="75"/>
  <c r="P110" i="75"/>
  <c r="L115" i="75"/>
  <c r="Q228" i="75"/>
  <c r="M111" i="75"/>
  <c r="M148" i="75"/>
  <c r="O111" i="75"/>
  <c r="P99" i="75"/>
  <c r="L148" i="75"/>
  <c r="K50" i="98"/>
  <c r="L100" i="75"/>
  <c r="Q239" i="75"/>
  <c r="Q686" i="103"/>
  <c r="N164" i="75"/>
  <c r="N166" i="75"/>
  <c r="N168" i="75"/>
  <c r="M121" i="75"/>
  <c r="P143" i="75"/>
  <c r="M164" i="75"/>
  <c r="M166" i="75"/>
  <c r="M168" i="75"/>
  <c r="N111" i="75"/>
  <c r="P157" i="75"/>
  <c r="P117" i="75"/>
  <c r="D21" i="86"/>
  <c r="E21" i="86"/>
  <c r="C22" i="86"/>
  <c r="C42" i="86"/>
  <c r="D42" i="86"/>
  <c r="E42" i="86"/>
  <c r="B14" i="82"/>
  <c r="B20" i="82"/>
  <c r="B21" i="82"/>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c r="O100" i="75"/>
  <c r="P158" i="75"/>
  <c r="P140" i="75"/>
  <c r="D34" i="86"/>
  <c r="H34" i="86"/>
  <c r="P97" i="75"/>
  <c r="K100" i="75"/>
  <c r="P137" i="75"/>
  <c r="K148" i="75"/>
  <c r="P105" i="75"/>
  <c r="I55" i="84"/>
  <c r="E55" i="84"/>
  <c r="K55" i="84"/>
  <c r="G55" i="84"/>
  <c r="P104" i="75"/>
  <c r="K111" i="75"/>
  <c r="Q241" i="75"/>
  <c r="Q688" i="103"/>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c r="E14" i="74"/>
  <c r="E22" i="74"/>
  <c r="E729" i="103"/>
  <c r="P138" i="75"/>
  <c r="M147" i="75"/>
  <c r="P136" i="75"/>
  <c r="R31" i="74"/>
  <c r="O164" i="75"/>
  <c r="O166" i="75"/>
  <c r="O168" i="75"/>
  <c r="P108" i="75"/>
  <c r="P93" i="75"/>
  <c r="J164" i="78"/>
  <c r="J166" i="78"/>
  <c r="E3" i="86"/>
  <c r="B4" i="82"/>
  <c r="C18" i="84"/>
  <c r="I61" i="68"/>
  <c r="P139" i="75"/>
  <c r="P114" i="75"/>
  <c r="G14" i="86"/>
  <c r="G75" i="100"/>
  <c r="G77" i="100"/>
  <c r="I75" i="100"/>
  <c r="I77" i="100"/>
  <c r="C77" i="100"/>
  <c r="I75" i="98"/>
  <c r="L35" i="68"/>
  <c r="P96" i="103"/>
  <c r="C44" i="74"/>
  <c r="C751" i="103"/>
  <c r="C81" i="100"/>
  <c r="C80" i="100"/>
  <c r="C747" i="103"/>
  <c r="D10" i="86"/>
  <c r="AD109" i="78"/>
  <c r="AF109" i="78"/>
  <c r="AB222" i="103"/>
  <c r="AB223" i="103"/>
  <c r="AD223" i="103"/>
  <c r="AB227" i="103"/>
  <c r="AD227" i="103"/>
  <c r="P676" i="103"/>
  <c r="AI48" i="72"/>
  <c r="K40" i="100"/>
  <c r="D18" i="100"/>
  <c r="C38" i="100"/>
  <c r="AD108" i="78"/>
  <c r="AD110" i="78"/>
  <c r="AF110" i="78"/>
  <c r="AD114" i="78"/>
  <c r="AF114" i="78"/>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c r="AG36" i="72"/>
  <c r="AI36" i="72"/>
  <c r="AI63" i="72"/>
  <c r="AD36" i="72"/>
  <c r="AF36" i="72"/>
  <c r="AE36" i="72"/>
  <c r="AE39" i="72"/>
  <c r="AD39" i="72"/>
  <c r="AA48" i="72"/>
  <c r="AA63" i="72"/>
  <c r="Z48" i="72"/>
  <c r="Z63" i="72"/>
  <c r="AB48" i="72"/>
  <c r="AB63" i="72"/>
  <c r="Y48" i="72"/>
  <c r="X48" i="72"/>
  <c r="AD48" i="72"/>
  <c r="AF48" i="72"/>
  <c r="AG48" i="72"/>
  <c r="AE48" i="72"/>
  <c r="AH48" i="72"/>
  <c r="N152" i="75"/>
  <c r="K66" i="98"/>
  <c r="M152" i="75"/>
  <c r="K65" i="98"/>
  <c r="O151" i="75"/>
  <c r="F67" i="98"/>
  <c r="O127" i="75"/>
  <c r="K127" i="75"/>
  <c r="K151" i="75"/>
  <c r="F63" i="98"/>
  <c r="L127" i="75"/>
  <c r="L151" i="75"/>
  <c r="M151" i="75"/>
  <c r="F65" i="98"/>
  <c r="M127" i="75"/>
  <c r="N151" i="75"/>
  <c r="F66" i="98"/>
  <c r="N127" i="75"/>
  <c r="O125" i="75"/>
  <c r="O152" i="75"/>
  <c r="K152" i="75"/>
  <c r="K63" i="98"/>
  <c r="L125" i="75"/>
  <c r="L152" i="75"/>
  <c r="K64" i="98"/>
  <c r="K125" i="75"/>
  <c r="P129" i="75"/>
  <c r="P128" i="75"/>
  <c r="N125" i="75"/>
  <c r="M125" i="75"/>
  <c r="P131" i="75"/>
  <c r="P130" i="75"/>
  <c r="C40" i="84"/>
  <c r="K35" i="84"/>
  <c r="C77" i="84"/>
  <c r="C80" i="84"/>
  <c r="E75" i="84"/>
  <c r="E77" i="84"/>
  <c r="K75" i="84"/>
  <c r="K77" i="84"/>
  <c r="K65" i="75"/>
  <c r="K67" i="75"/>
  <c r="E32" i="95"/>
  <c r="E40" i="74"/>
  <c r="E747" i="103"/>
  <c r="E10" i="86"/>
  <c r="G102" i="90"/>
  <c r="G75" i="84"/>
  <c r="G77" i="84"/>
  <c r="E18" i="72"/>
  <c r="F131" i="78"/>
  <c r="F244" i="103"/>
  <c r="Q165" i="75"/>
  <c r="Q167" i="75"/>
  <c r="M49" i="75"/>
  <c r="M50" i="75"/>
  <c r="Q163" i="75"/>
  <c r="E14" i="72"/>
  <c r="D53" i="82"/>
  <c r="M65" i="75"/>
  <c r="Q157" i="75"/>
  <c r="Q159" i="75"/>
  <c r="F57" i="89"/>
  <c r="D37" i="90"/>
  <c r="Q162" i="75"/>
  <c r="E68" i="84"/>
  <c r="O65" i="75"/>
  <c r="Q160" i="75"/>
  <c r="P118" i="75"/>
  <c r="Q161" i="75"/>
  <c r="P115" i="75"/>
  <c r="P121" i="75"/>
  <c r="L65" i="75"/>
  <c r="I68" i="84"/>
  <c r="F130" i="78"/>
  <c r="F243" i="103"/>
  <c r="G68" i="84"/>
  <c r="Q158" i="75"/>
  <c r="B21" i="74"/>
  <c r="N65" i="75"/>
  <c r="P111" i="75"/>
  <c r="L348" i="73"/>
  <c r="P63" i="75"/>
  <c r="P154" i="75"/>
  <c r="D22" i="86"/>
  <c r="P164" i="75"/>
  <c r="K166" i="75"/>
  <c r="P148" i="75"/>
  <c r="P51" i="68"/>
  <c r="P52" i="68"/>
  <c r="I62" i="68"/>
  <c r="P47" i="68"/>
  <c r="P90" i="103"/>
  <c r="D18" i="84"/>
  <c r="K40" i="84"/>
  <c r="C38" i="84"/>
  <c r="I47" i="68"/>
  <c r="I90" i="103"/>
  <c r="P149" i="75"/>
  <c r="P147" i="75"/>
  <c r="P150" i="75"/>
  <c r="F14" i="74"/>
  <c r="F22" i="74"/>
  <c r="F729" i="103"/>
  <c r="E24" i="74"/>
  <c r="E731" i="103"/>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63" i="72"/>
  <c r="AF63" i="72"/>
  <c r="AH63" i="72"/>
  <c r="B728" i="103"/>
  <c r="H7" i="100"/>
  <c r="E27" i="89"/>
  <c r="D44" i="74"/>
  <c r="D751" i="103"/>
  <c r="AD222" i="103"/>
  <c r="AD224" i="103"/>
  <c r="AB224" i="103"/>
  <c r="E13" i="100"/>
  <c r="H16" i="85"/>
  <c r="AD111" i="78"/>
  <c r="AF108" i="78"/>
  <c r="AF111" i="78"/>
  <c r="N61" i="98"/>
  <c r="K70" i="75"/>
  <c r="K73" i="75"/>
  <c r="K79" i="75"/>
  <c r="K76" i="75"/>
  <c r="K85" i="75"/>
  <c r="K88" i="75"/>
  <c r="K82" i="75"/>
  <c r="K67" i="98"/>
  <c r="K68" i="98"/>
  <c r="H63" i="98"/>
  <c r="I63" i="98"/>
  <c r="N65" i="98"/>
  <c r="M65" i="98"/>
  <c r="N53" i="98"/>
  <c r="M53" i="98"/>
  <c r="M49" i="98"/>
  <c r="K54" i="98"/>
  <c r="N49" i="98"/>
  <c r="N64" i="98"/>
  <c r="M64" i="98"/>
  <c r="I65" i="98"/>
  <c r="H65" i="98"/>
  <c r="N66" i="98"/>
  <c r="M66" i="98"/>
  <c r="H50" i="98"/>
  <c r="I50" i="98"/>
  <c r="F64" i="98"/>
  <c r="F68" i="98"/>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c r="AT49" i="72"/>
  <c r="F31" i="74"/>
  <c r="F738" i="103"/>
  <c r="B15" i="74"/>
  <c r="B722" i="103"/>
  <c r="E21" i="74"/>
  <c r="H179" i="75"/>
  <c r="H626" i="103"/>
  <c r="P626" i="103"/>
  <c r="L67" i="75"/>
  <c r="O67" i="75"/>
  <c r="M67" i="75"/>
  <c r="N67" i="75"/>
  <c r="P53" i="68"/>
  <c r="P65" i="75"/>
  <c r="D21" i="74"/>
  <c r="C21" i="74"/>
  <c r="E13" i="84"/>
  <c r="G14" i="74"/>
  <c r="G22" i="74"/>
  <c r="G729" i="103"/>
  <c r="F24" i="74"/>
  <c r="F731" i="103"/>
  <c r="K168" i="75"/>
  <c r="P168" i="75"/>
  <c r="P166" i="75"/>
  <c r="F21" i="74"/>
  <c r="O19" i="86"/>
  <c r="O23" i="86"/>
  <c r="O25" i="86"/>
  <c r="O31" i="86"/>
  <c r="G21" i="86"/>
  <c r="F22" i="86"/>
  <c r="C728" i="103"/>
  <c r="E728" i="103"/>
  <c r="F728" i="103"/>
  <c r="D728" i="103"/>
  <c r="P280" i="103"/>
  <c r="P281" i="103"/>
  <c r="P283" i="103"/>
  <c r="E44" i="74"/>
  <c r="E751" i="103"/>
  <c r="K175" i="75"/>
  <c r="J171" i="103"/>
  <c r="J162" i="103"/>
  <c r="F171" i="103"/>
  <c r="F162" i="103"/>
  <c r="M280" i="103"/>
  <c r="M281" i="103"/>
  <c r="M283" i="103"/>
  <c r="P242" i="75"/>
  <c r="Q242" i="75"/>
  <c r="Q689" i="103"/>
  <c r="Q690" i="103"/>
  <c r="J1223" i="103"/>
  <c r="J72" i="102"/>
  <c r="F161" i="103"/>
  <c r="F170" i="103"/>
  <c r="J98" i="72"/>
  <c r="AD113" i="78"/>
  <c r="AF113" i="78"/>
  <c r="AF115" i="78"/>
  <c r="E109" i="78"/>
  <c r="AB226" i="103"/>
  <c r="J280" i="103"/>
  <c r="J281" i="103"/>
  <c r="J283"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c r="M67" i="98"/>
  <c r="N67" i="98"/>
  <c r="N68" i="98"/>
  <c r="G10" i="86"/>
  <c r="F15" i="74"/>
  <c r="F722" i="103"/>
  <c r="P243" i="75"/>
  <c r="P690" i="103"/>
  <c r="F48" i="78"/>
  <c r="F49" i="78"/>
  <c r="J49" i="78"/>
  <c r="J58" i="78"/>
  <c r="F57" i="78"/>
  <c r="F58" i="78"/>
  <c r="G31" i="74"/>
  <c r="G738" i="103"/>
  <c r="F53" i="82"/>
  <c r="G40" i="74"/>
  <c r="G747" i="103"/>
  <c r="C15" i="74"/>
  <c r="C722" i="103"/>
  <c r="C52" i="84"/>
  <c r="G52" i="84"/>
  <c r="D15" i="74"/>
  <c r="D722" i="103"/>
  <c r="E15" i="74"/>
  <c r="E722" i="103"/>
  <c r="B16" i="74"/>
  <c r="B723" i="103"/>
  <c r="K171" i="75"/>
  <c r="L171" i="75"/>
  <c r="O171" i="75"/>
  <c r="N171" i="75"/>
  <c r="M171" i="75"/>
  <c r="P67" i="75"/>
  <c r="Q230" i="75"/>
  <c r="Q677" i="103"/>
  <c r="N675" i="103"/>
  <c r="H7" i="84"/>
  <c r="E47" i="92"/>
  <c r="L98" i="72"/>
  <c r="K98" i="72"/>
  <c r="D33" i="90"/>
  <c r="D55" i="92"/>
  <c r="M167" i="78"/>
  <c r="M168" i="78"/>
  <c r="M170" i="78"/>
  <c r="J167" i="78"/>
  <c r="J168" i="78"/>
  <c r="H14" i="74"/>
  <c r="H22" i="74"/>
  <c r="H729" i="103"/>
  <c r="G24" i="74"/>
  <c r="G731" i="103"/>
  <c r="G15" i="74"/>
  <c r="G722" i="103"/>
  <c r="G21" i="74"/>
  <c r="P167" i="78"/>
  <c r="P168" i="78"/>
  <c r="P170" i="78"/>
  <c r="H21" i="86"/>
  <c r="G22" i="86"/>
  <c r="G728" i="103"/>
  <c r="F44" i="74"/>
  <c r="F751" i="103"/>
  <c r="J284" i="103"/>
  <c r="Q243" i="75"/>
  <c r="Q234" i="75"/>
  <c r="I109" i="78"/>
  <c r="E222" i="103"/>
  <c r="I222" i="103"/>
  <c r="AD226" i="103"/>
  <c r="AD228" i="103"/>
  <c r="AB228" i="103"/>
  <c r="AD106" i="78"/>
  <c r="H1322" i="103"/>
  <c r="J1448" i="103"/>
  <c r="E168" i="103"/>
  <c r="G167" i="103"/>
  <c r="H171" i="102"/>
  <c r="AB219" i="103"/>
  <c r="D261" i="103"/>
  <c r="J297" i="102"/>
  <c r="AC238" i="103"/>
  <c r="L1035" i="103"/>
  <c r="L1036" i="103"/>
  <c r="L1037" i="103"/>
  <c r="AC239" i="103"/>
  <c r="AC236" i="103"/>
  <c r="AC235" i="103"/>
  <c r="E200" i="103"/>
  <c r="AC237" i="103"/>
  <c r="AC240" i="103"/>
  <c r="J170" i="103"/>
  <c r="J161" i="103"/>
  <c r="M290" i="73"/>
  <c r="L290" i="73"/>
  <c r="L186" i="101"/>
  <c r="L184" i="101"/>
  <c r="L185" i="101"/>
  <c r="C13" i="100"/>
  <c r="M293" i="73"/>
  <c r="L293" i="73"/>
  <c r="AD115" i="78"/>
  <c r="G261" i="103"/>
  <c r="P170" i="103"/>
  <c r="P161" i="103"/>
  <c r="K13" i="100"/>
  <c r="C53" i="100"/>
  <c r="E52" i="100"/>
  <c r="I52" i="100"/>
  <c r="G52" i="100"/>
  <c r="K52" i="100"/>
  <c r="M77" i="98"/>
  <c r="H77" i="98"/>
  <c r="P71" i="98"/>
  <c r="K238" i="75"/>
  <c r="K240" i="75"/>
  <c r="K239" i="75"/>
  <c r="E345" i="73"/>
  <c r="N345" i="73"/>
  <c r="E348" i="73"/>
  <c r="N348" i="73"/>
  <c r="P70" i="75"/>
  <c r="P85" i="75"/>
  <c r="P79" i="75"/>
  <c r="P82" i="75"/>
  <c r="P88" i="75"/>
  <c r="P73" i="75"/>
  <c r="P76" i="75"/>
  <c r="G53" i="82"/>
  <c r="H10" i="86"/>
  <c r="G16" i="74"/>
  <c r="G723" i="103"/>
  <c r="L103" i="72"/>
  <c r="L113" i="72"/>
  <c r="L378" i="72"/>
  <c r="K225" i="72"/>
  <c r="P48" i="78"/>
  <c r="J48" i="78"/>
  <c r="J57" i="78"/>
  <c r="H31" i="74"/>
  <c r="J365" i="72"/>
  <c r="J366" i="72"/>
  <c r="M442" i="72"/>
  <c r="E343" i="73"/>
  <c r="N343" i="73"/>
  <c r="N228" i="75"/>
  <c r="H40" i="74"/>
  <c r="H747" i="103"/>
  <c r="L89" i="72"/>
  <c r="O93" i="72"/>
  <c r="K52" i="84"/>
  <c r="I52" i="84"/>
  <c r="E52" i="84"/>
  <c r="B17" i="74"/>
  <c r="B724" i="103"/>
  <c r="D16" i="74"/>
  <c r="D723" i="103"/>
  <c r="E16" i="74"/>
  <c r="E723" i="103"/>
  <c r="C53" i="84"/>
  <c r="I53" i="84"/>
  <c r="I54" i="84"/>
  <c r="C16" i="74"/>
  <c r="C723" i="103"/>
  <c r="F16" i="74"/>
  <c r="F723" i="103"/>
  <c r="J49" i="75"/>
  <c r="J50" i="75"/>
  <c r="P98" i="72"/>
  <c r="O98" i="72"/>
  <c r="O97" i="72"/>
  <c r="AE125" i="78"/>
  <c r="E55" i="78"/>
  <c r="K235" i="75"/>
  <c r="E87" i="78"/>
  <c r="K237" i="75"/>
  <c r="J391" i="72"/>
  <c r="L391" i="72"/>
  <c r="AE122" i="78"/>
  <c r="O222" i="75"/>
  <c r="K236" i="75"/>
  <c r="AE127" i="78"/>
  <c r="O221" i="75"/>
  <c r="O197" i="73"/>
  <c r="D148" i="78"/>
  <c r="O385" i="72"/>
  <c r="O386" i="72"/>
  <c r="AE124" i="78"/>
  <c r="H226" i="72"/>
  <c r="F133" i="78"/>
  <c r="F246" i="103"/>
  <c r="C13" i="84"/>
  <c r="P229" i="75"/>
  <c r="AE123" i="78"/>
  <c r="D35" i="90"/>
  <c r="I64" i="92"/>
  <c r="AE126" i="78"/>
  <c r="J170" i="78"/>
  <c r="J171" i="78"/>
  <c r="G15" i="82"/>
  <c r="G19" i="82"/>
  <c r="G20" i="82"/>
  <c r="H24" i="74"/>
  <c r="H731" i="103"/>
  <c r="I14" i="74"/>
  <c r="I22" i="74"/>
  <c r="I729" i="103"/>
  <c r="H16" i="74"/>
  <c r="H723" i="103"/>
  <c r="H15" i="74"/>
  <c r="H722" i="103"/>
  <c r="H21" i="74"/>
  <c r="I21" i="86"/>
  <c r="I22" i="86"/>
  <c r="H22" i="86"/>
  <c r="B23" i="74"/>
  <c r="G44" i="74"/>
  <c r="G751" i="103"/>
  <c r="H53" i="82"/>
  <c r="H738" i="103"/>
  <c r="H728" i="103"/>
  <c r="AD238" i="103"/>
  <c r="AF238" i="103"/>
  <c r="H44" i="74"/>
  <c r="H20" i="100"/>
  <c r="C20" i="100"/>
  <c r="H19" i="100"/>
  <c r="D17" i="83"/>
  <c r="F53" i="89"/>
  <c r="F16" i="85"/>
  <c r="A9" i="83"/>
  <c r="C19" i="100"/>
  <c r="J1449" i="103"/>
  <c r="M1449" i="103"/>
  <c r="AD235" i="103"/>
  <c r="AF235" i="103"/>
  <c r="J298" i="102"/>
  <c r="J300" i="102"/>
  <c r="J1451" i="103"/>
  <c r="M298" i="102"/>
  <c r="M300" i="102"/>
  <c r="M1451" i="103"/>
  <c r="C54" i="100"/>
  <c r="C56" i="100"/>
  <c r="C64" i="100"/>
  <c r="C70" i="100"/>
  <c r="I53" i="100"/>
  <c r="I54" i="100"/>
  <c r="E53" i="100"/>
  <c r="E54" i="100"/>
  <c r="G53" i="100"/>
  <c r="G54" i="100"/>
  <c r="K53" i="100"/>
  <c r="K54" i="100"/>
  <c r="G17" i="74"/>
  <c r="G724" i="103"/>
  <c r="P74" i="75"/>
  <c r="P75" i="75"/>
  <c r="K74" i="75"/>
  <c r="K75" i="75"/>
  <c r="N74" i="75"/>
  <c r="N75" i="75"/>
  <c r="L74" i="75"/>
  <c r="L75" i="75"/>
  <c r="M74" i="75"/>
  <c r="M75" i="75"/>
  <c r="O74" i="75"/>
  <c r="O75" i="75"/>
  <c r="N86" i="75"/>
  <c r="N87" i="75"/>
  <c r="P86" i="75"/>
  <c r="P87" i="75"/>
  <c r="K86" i="75"/>
  <c r="K87" i="75"/>
  <c r="L86" i="75"/>
  <c r="L87" i="75"/>
  <c r="M86" i="75"/>
  <c r="M87" i="75"/>
  <c r="O86" i="75"/>
  <c r="O87" i="75"/>
  <c r="P89" i="75"/>
  <c r="P90" i="75"/>
  <c r="K89" i="75"/>
  <c r="K90" i="75"/>
  <c r="L89" i="75"/>
  <c r="L90" i="75"/>
  <c r="O89" i="75"/>
  <c r="O90" i="75"/>
  <c r="M89" i="75"/>
  <c r="M90" i="75"/>
  <c r="N89" i="75"/>
  <c r="N90" i="75"/>
  <c r="P71" i="75"/>
  <c r="P72" i="75"/>
  <c r="O71" i="75"/>
  <c r="O72" i="75"/>
  <c r="K71" i="75"/>
  <c r="K72" i="75"/>
  <c r="M71" i="75"/>
  <c r="M72" i="75"/>
  <c r="L71" i="75"/>
  <c r="L72" i="75"/>
  <c r="N71" i="75"/>
  <c r="N72" i="75"/>
  <c r="P83" i="75"/>
  <c r="P84" i="75"/>
  <c r="K83" i="75"/>
  <c r="K84" i="75"/>
  <c r="M83" i="75"/>
  <c r="M84" i="75"/>
  <c r="L83" i="75"/>
  <c r="L84" i="75"/>
  <c r="N83" i="75"/>
  <c r="N84" i="75"/>
  <c r="O83" i="75"/>
  <c r="O84" i="75"/>
  <c r="P77" i="75"/>
  <c r="P78" i="75"/>
  <c r="L77" i="75"/>
  <c r="L78" i="75"/>
  <c r="O77" i="75"/>
  <c r="O78" i="75"/>
  <c r="N77" i="75"/>
  <c r="N78" i="75"/>
  <c r="M77" i="75"/>
  <c r="M78" i="75"/>
  <c r="K77" i="75"/>
  <c r="K78" i="75"/>
  <c r="P80" i="75"/>
  <c r="P81" i="75"/>
  <c r="N80" i="75"/>
  <c r="N81" i="75"/>
  <c r="L80" i="75"/>
  <c r="L81" i="75"/>
  <c r="K80" i="75"/>
  <c r="K81" i="75"/>
  <c r="O80" i="75"/>
  <c r="O81" i="75"/>
  <c r="M80" i="75"/>
  <c r="M81" i="75"/>
  <c r="I31" i="74"/>
  <c r="I738" i="103"/>
  <c r="I10" i="86"/>
  <c r="B20" i="74"/>
  <c r="P57" i="78"/>
  <c r="G148" i="78"/>
  <c r="K13" i="84"/>
  <c r="M366" i="72"/>
  <c r="M367" i="72"/>
  <c r="G54" i="78"/>
  <c r="I56" i="84"/>
  <c r="I64" i="84"/>
  <c r="I40" i="74"/>
  <c r="I747" i="103"/>
  <c r="C17" i="74"/>
  <c r="C724" i="103"/>
  <c r="C54" i="84"/>
  <c r="C56" i="84"/>
  <c r="C64" i="84"/>
  <c r="K6" i="74"/>
  <c r="K713" i="103"/>
  <c r="L4" i="95"/>
  <c r="K8" i="74"/>
  <c r="K715" i="103"/>
  <c r="J4" i="91"/>
  <c r="D17" i="74"/>
  <c r="D724" i="103"/>
  <c r="K53" i="84"/>
  <c r="K54" i="84"/>
  <c r="K56" i="84"/>
  <c r="K64" i="84"/>
  <c r="G53" i="84"/>
  <c r="G54" i="84"/>
  <c r="E17" i="74"/>
  <c r="E724" i="103"/>
  <c r="E53" i="84"/>
  <c r="E54" i="84"/>
  <c r="E56" i="84"/>
  <c r="E64" i="84"/>
  <c r="F17" i="74"/>
  <c r="F724" i="103"/>
  <c r="P97" i="72"/>
  <c r="AF125" i="78"/>
  <c r="AH125" i="78"/>
  <c r="H19" i="84"/>
  <c r="AF122" i="78"/>
  <c r="C19" i="84"/>
  <c r="H17" i="74"/>
  <c r="H724" i="103"/>
  <c r="J31" i="74"/>
  <c r="J738" i="103"/>
  <c r="I24" i="74"/>
  <c r="I731" i="103"/>
  <c r="J14" i="74"/>
  <c r="J22" i="74"/>
  <c r="J729" i="103"/>
  <c r="I16" i="74"/>
  <c r="I723" i="103"/>
  <c r="I15" i="74"/>
  <c r="I722" i="103"/>
  <c r="I21" i="74"/>
  <c r="C13" i="86"/>
  <c r="E23" i="74"/>
  <c r="E730" i="103"/>
  <c r="E746" i="103"/>
  <c r="F23" i="74"/>
  <c r="F730" i="103"/>
  <c r="F746" i="103"/>
  <c r="Q247" i="75"/>
  <c r="N235" i="75"/>
  <c r="C66" i="84"/>
  <c r="E174" i="90"/>
  <c r="E175" i="90"/>
  <c r="Q235" i="75"/>
  <c r="Q681" i="103"/>
  <c r="G23" i="74"/>
  <c r="H13" i="86"/>
  <c r="D23" i="74"/>
  <c r="D730" i="103"/>
  <c r="D746" i="103"/>
  <c r="B730" i="103"/>
  <c r="B746" i="103"/>
  <c r="B39" i="74"/>
  <c r="I23" i="74"/>
  <c r="I730" i="103"/>
  <c r="H23" i="74"/>
  <c r="I13" i="86"/>
  <c r="C23" i="74"/>
  <c r="I53" i="82"/>
  <c r="I728" i="103"/>
  <c r="H751" i="103"/>
  <c r="I44" i="74"/>
  <c r="G20" i="74"/>
  <c r="G727" i="103"/>
  <c r="B25" i="74"/>
  <c r="B33" i="74"/>
  <c r="B727" i="103"/>
  <c r="B732" i="103"/>
  <c r="E56" i="100"/>
  <c r="E64" i="100"/>
  <c r="E70" i="100"/>
  <c r="K56" i="100"/>
  <c r="K64" i="100"/>
  <c r="K70" i="100"/>
  <c r="I56" i="100"/>
  <c r="I64" i="100"/>
  <c r="I70" i="100"/>
  <c r="C76" i="100"/>
  <c r="C73" i="100"/>
  <c r="C72" i="100"/>
  <c r="G56" i="100"/>
  <c r="G64" i="100"/>
  <c r="G70" i="100"/>
  <c r="AH122" i="78"/>
  <c r="E127" i="78"/>
  <c r="P89" i="72"/>
  <c r="O89" i="72"/>
  <c r="C30" i="86"/>
  <c r="C20" i="74"/>
  <c r="C20" i="84"/>
  <c r="H20" i="84"/>
  <c r="J40" i="74"/>
  <c r="J747" i="103"/>
  <c r="E20" i="74"/>
  <c r="E727" i="103"/>
  <c r="D20" i="74"/>
  <c r="D727" i="103"/>
  <c r="G56" i="84"/>
  <c r="G64" i="84"/>
  <c r="F20" i="74"/>
  <c r="F727" i="103"/>
  <c r="K31" i="74"/>
  <c r="K738" i="103"/>
  <c r="J53" i="82"/>
  <c r="K14" i="74"/>
  <c r="K22" i="74"/>
  <c r="K729" i="103"/>
  <c r="J24" i="74"/>
  <c r="J731" i="103"/>
  <c r="J15" i="74"/>
  <c r="J722" i="103"/>
  <c r="J16" i="74"/>
  <c r="J723" i="103"/>
  <c r="J21" i="74"/>
  <c r="J23" i="74"/>
  <c r="J730" i="103"/>
  <c r="I17" i="74"/>
  <c r="I724" i="103"/>
  <c r="H20" i="74"/>
  <c r="H727" i="103"/>
  <c r="E13" i="86"/>
  <c r="F13" i="86"/>
  <c r="F39" i="74"/>
  <c r="E39" i="74"/>
  <c r="Q682" i="103"/>
  <c r="N682" i="103"/>
  <c r="Q694" i="103"/>
  <c r="E66" i="84"/>
  <c r="E70" i="84"/>
  <c r="K66" i="84"/>
  <c r="K70" i="84"/>
  <c r="K72" i="84"/>
  <c r="I66" i="84"/>
  <c r="I70" i="84"/>
  <c r="I76" i="84"/>
  <c r="I73" i="84"/>
  <c r="G66" i="84"/>
  <c r="G39" i="74"/>
  <c r="G730" i="103"/>
  <c r="G746" i="103"/>
  <c r="C70" i="84"/>
  <c r="G70" i="84"/>
  <c r="G76" i="84"/>
  <c r="G73" i="84"/>
  <c r="G13" i="86"/>
  <c r="E732" i="103"/>
  <c r="E741" i="103"/>
  <c r="G25" i="74"/>
  <c r="G44" i="82"/>
  <c r="G51" i="82"/>
  <c r="C33" i="86"/>
  <c r="I39" i="74"/>
  <c r="D39" i="74"/>
  <c r="I746" i="103"/>
  <c r="D732" i="103"/>
  <c r="D740" i="103"/>
  <c r="C730" i="103"/>
  <c r="C746" i="103"/>
  <c r="C39" i="74"/>
  <c r="D13" i="86"/>
  <c r="H730" i="103"/>
  <c r="H746" i="103"/>
  <c r="H39" i="74"/>
  <c r="F732" i="103"/>
  <c r="F745" i="103"/>
  <c r="J728" i="103"/>
  <c r="B740" i="103"/>
  <c r="B745" i="103"/>
  <c r="B741" i="103"/>
  <c r="B34" i="74"/>
  <c r="B38" i="74"/>
  <c r="B44" i="82"/>
  <c r="B51" i="82"/>
  <c r="E740" i="103"/>
  <c r="I751" i="103"/>
  <c r="J44" i="74"/>
  <c r="C25" i="74"/>
  <c r="C33" i="74"/>
  <c r="C727" i="103"/>
  <c r="A127" i="78"/>
  <c r="E240" i="103"/>
  <c r="A240" i="103"/>
  <c r="I72" i="84"/>
  <c r="I72" i="100"/>
  <c r="I76" i="100"/>
  <c r="I73" i="100"/>
  <c r="G72" i="100"/>
  <c r="G76" i="100"/>
  <c r="G73" i="100"/>
  <c r="K72" i="100"/>
  <c r="K76" i="100"/>
  <c r="K73" i="100"/>
  <c r="E72" i="100"/>
  <c r="E76" i="100"/>
  <c r="E73" i="100"/>
  <c r="P91" i="72"/>
  <c r="O442" i="72"/>
  <c r="D30" i="86"/>
  <c r="Y37" i="72"/>
  <c r="X37" i="72"/>
  <c r="AD37" i="72"/>
  <c r="AE37" i="72"/>
  <c r="K40" i="74"/>
  <c r="K747" i="103"/>
  <c r="E25" i="74"/>
  <c r="D25" i="74"/>
  <c r="S21" i="74"/>
  <c r="C9" i="86"/>
  <c r="C17" i="86"/>
  <c r="C18" i="86"/>
  <c r="C20" i="86"/>
  <c r="C24" i="86"/>
  <c r="K6" i="86"/>
  <c r="G66" i="86"/>
  <c r="N92" i="85"/>
  <c r="F25" i="74"/>
  <c r="J178" i="78"/>
  <c r="J180" i="78"/>
  <c r="I20" i="74"/>
  <c r="I727" i="103"/>
  <c r="I732" i="103"/>
  <c r="K24" i="74"/>
  <c r="K731" i="103"/>
  <c r="B46" i="74"/>
  <c r="B54" i="74"/>
  <c r="B761" i="103"/>
  <c r="K15" i="74"/>
  <c r="K722" i="103"/>
  <c r="K16" i="74"/>
  <c r="K723" i="103"/>
  <c r="K21" i="74"/>
  <c r="K23" i="74"/>
  <c r="K730" i="103"/>
  <c r="H25" i="74"/>
  <c r="D33" i="86"/>
  <c r="B63" i="74"/>
  <c r="B770" i="103"/>
  <c r="K53" i="82"/>
  <c r="J17" i="74"/>
  <c r="J724" i="103"/>
  <c r="J746" i="103"/>
  <c r="G72" i="84"/>
  <c r="C732" i="103"/>
  <c r="D741" i="103"/>
  <c r="D745" i="103"/>
  <c r="G732" i="103"/>
  <c r="G741" i="103"/>
  <c r="E745" i="103"/>
  <c r="G34" i="74"/>
  <c r="G38" i="74"/>
  <c r="G33" i="74"/>
  <c r="H9" i="86"/>
  <c r="H17" i="86"/>
  <c r="H18" i="86"/>
  <c r="H20" i="86"/>
  <c r="H24" i="86"/>
  <c r="K11" i="86"/>
  <c r="K76" i="84"/>
  <c r="K73" i="84"/>
  <c r="J39" i="74"/>
  <c r="E76" i="84"/>
  <c r="E73" i="84"/>
  <c r="E72" i="84"/>
  <c r="C72" i="84"/>
  <c r="C76" i="84"/>
  <c r="C73" i="84"/>
  <c r="F741" i="103"/>
  <c r="F740" i="103"/>
  <c r="H732" i="103"/>
  <c r="K728" i="103"/>
  <c r="B46" i="82"/>
  <c r="C44" i="82"/>
  <c r="C46" i="82"/>
  <c r="F34" i="74"/>
  <c r="F38" i="74"/>
  <c r="H38" i="74"/>
  <c r="H34" i="74"/>
  <c r="C740" i="103"/>
  <c r="C741" i="103"/>
  <c r="C745" i="103"/>
  <c r="I740" i="103"/>
  <c r="I745" i="103"/>
  <c r="I741" i="103"/>
  <c r="D38" i="74"/>
  <c r="D34" i="74"/>
  <c r="C34" i="74"/>
  <c r="C38" i="74"/>
  <c r="E34" i="74"/>
  <c r="E38" i="74"/>
  <c r="J751" i="103"/>
  <c r="K44" i="74"/>
  <c r="E30" i="86"/>
  <c r="E33" i="74"/>
  <c r="F9" i="86"/>
  <c r="F17" i="86"/>
  <c r="F18" i="86"/>
  <c r="F20" i="86"/>
  <c r="F24" i="86"/>
  <c r="K9" i="86"/>
  <c r="D44" i="82"/>
  <c r="D46" i="82"/>
  <c r="B15" i="82"/>
  <c r="J183" i="78"/>
  <c r="M189" i="78"/>
  <c r="B72" i="74"/>
  <c r="B779" i="103"/>
  <c r="E44" i="82"/>
  <c r="E46" i="82"/>
  <c r="D33" i="74"/>
  <c r="S22" i="74"/>
  <c r="D9" i="86"/>
  <c r="D17" i="86"/>
  <c r="D18" i="86"/>
  <c r="D20" i="86"/>
  <c r="D24" i="86"/>
  <c r="K7" i="86"/>
  <c r="G46" i="82"/>
  <c r="F44" i="82"/>
  <c r="F33" i="74"/>
  <c r="I25" i="74"/>
  <c r="J20" i="74"/>
  <c r="J727" i="103"/>
  <c r="J732" i="103"/>
  <c r="H44" i="82"/>
  <c r="H33" i="74"/>
  <c r="K17" i="74"/>
  <c r="K724" i="103"/>
  <c r="C46" i="74"/>
  <c r="C54" i="74"/>
  <c r="C761" i="103"/>
  <c r="B56" i="74"/>
  <c r="B48" i="74"/>
  <c r="B755" i="103"/>
  <c r="B47" i="74"/>
  <c r="B754" i="103"/>
  <c r="B53" i="74"/>
  <c r="B55" i="74"/>
  <c r="B762" i="103"/>
  <c r="C63" i="74"/>
  <c r="C770" i="103"/>
  <c r="B73" i="82"/>
  <c r="E33" i="86"/>
  <c r="K39" i="74"/>
  <c r="G745" i="103"/>
  <c r="G740" i="103"/>
  <c r="K746" i="103"/>
  <c r="C51" i="82"/>
  <c r="H740" i="103"/>
  <c r="H745" i="103"/>
  <c r="H741" i="103"/>
  <c r="B760" i="103"/>
  <c r="J740" i="103"/>
  <c r="J741" i="103"/>
  <c r="J745" i="103"/>
  <c r="I34" i="74"/>
  <c r="I38" i="74"/>
  <c r="K751" i="103"/>
  <c r="B76" i="74"/>
  <c r="F30" i="86"/>
  <c r="D51" i="82"/>
  <c r="C72" i="74"/>
  <c r="C779" i="103"/>
  <c r="E51" i="82"/>
  <c r="S26" i="74"/>
  <c r="S23" i="74"/>
  <c r="S24" i="74"/>
  <c r="E9" i="86"/>
  <c r="E17" i="86"/>
  <c r="E18" i="86"/>
  <c r="E20" i="86"/>
  <c r="E24" i="86"/>
  <c r="K8" i="86"/>
  <c r="G9" i="86"/>
  <c r="G17" i="86"/>
  <c r="G18" i="86"/>
  <c r="G20" i="86"/>
  <c r="G24" i="86"/>
  <c r="K10" i="86"/>
  <c r="F46" i="82"/>
  <c r="F51" i="82"/>
  <c r="S25" i="74"/>
  <c r="I44" i="82"/>
  <c r="I51" i="82"/>
  <c r="J25" i="74"/>
  <c r="I33" i="74"/>
  <c r="C73" i="82"/>
  <c r="D63" i="74"/>
  <c r="D770" i="103"/>
  <c r="C48" i="74"/>
  <c r="C755" i="103"/>
  <c r="C56" i="74"/>
  <c r="D46" i="74"/>
  <c r="D54" i="74"/>
  <c r="D761" i="103"/>
  <c r="C47" i="74"/>
  <c r="C754" i="103"/>
  <c r="C53" i="74"/>
  <c r="C55" i="74"/>
  <c r="C762" i="103"/>
  <c r="B49" i="74"/>
  <c r="B756" i="103"/>
  <c r="I9" i="86"/>
  <c r="S27" i="74"/>
  <c r="H51" i="82"/>
  <c r="H46" i="82"/>
  <c r="F33" i="86"/>
  <c r="K20" i="74"/>
  <c r="K727" i="103"/>
  <c r="K732" i="103"/>
  <c r="B71" i="74"/>
  <c r="B778" i="103"/>
  <c r="C760" i="103"/>
  <c r="K740" i="103"/>
  <c r="K741" i="103"/>
  <c r="K745" i="103"/>
  <c r="J34" i="74"/>
  <c r="J38" i="74"/>
  <c r="B783" i="103"/>
  <c r="C76" i="74"/>
  <c r="G30" i="86"/>
  <c r="D72" i="74"/>
  <c r="D779" i="103"/>
  <c r="I46" i="82"/>
  <c r="J33" i="74"/>
  <c r="J44" i="82"/>
  <c r="J46" i="82"/>
  <c r="C29" i="86"/>
  <c r="C37" i="86"/>
  <c r="C38" i="86"/>
  <c r="C40" i="86"/>
  <c r="C44" i="86"/>
  <c r="K13" i="86"/>
  <c r="S28" i="74"/>
  <c r="I17" i="86"/>
  <c r="I18" i="86"/>
  <c r="I20" i="86"/>
  <c r="I24" i="86"/>
  <c r="K12" i="86"/>
  <c r="E46" i="74"/>
  <c r="E54" i="74"/>
  <c r="E761" i="103"/>
  <c r="D56" i="74"/>
  <c r="D48" i="74"/>
  <c r="D755" i="103"/>
  <c r="D47" i="74"/>
  <c r="D754" i="103"/>
  <c r="D53" i="74"/>
  <c r="D55" i="74"/>
  <c r="D762" i="103"/>
  <c r="E63" i="74"/>
  <c r="E770" i="103"/>
  <c r="D73" i="82"/>
  <c r="G33" i="86"/>
  <c r="K25" i="74"/>
  <c r="B52" i="74"/>
  <c r="B759" i="103"/>
  <c r="B764" i="103"/>
  <c r="C49" i="74"/>
  <c r="C756" i="103"/>
  <c r="C71" i="74"/>
  <c r="C778" i="103"/>
  <c r="D760" i="103"/>
  <c r="B772" i="103"/>
  <c r="B777" i="103"/>
  <c r="B773" i="103"/>
  <c r="K34" i="74"/>
  <c r="K38" i="74"/>
  <c r="C783" i="103"/>
  <c r="D76" i="74"/>
  <c r="H30" i="86"/>
  <c r="E72" i="74"/>
  <c r="E779" i="103"/>
  <c r="J51" i="82"/>
  <c r="S29" i="74"/>
  <c r="D29" i="86"/>
  <c r="D37" i="86"/>
  <c r="D38" i="86"/>
  <c r="D40" i="86"/>
  <c r="D44" i="86"/>
  <c r="K14" i="86"/>
  <c r="C52" i="74"/>
  <c r="C759" i="103"/>
  <c r="C764" i="103"/>
  <c r="E73" i="82"/>
  <c r="F63" i="74"/>
  <c r="F770" i="103"/>
  <c r="D49" i="74"/>
  <c r="D756" i="103"/>
  <c r="B57" i="74"/>
  <c r="K44" i="82"/>
  <c r="K33" i="74"/>
  <c r="E47" i="74"/>
  <c r="E754" i="103"/>
  <c r="E56" i="74"/>
  <c r="F46" i="74"/>
  <c r="F54" i="74"/>
  <c r="F761" i="103"/>
  <c r="E48" i="74"/>
  <c r="E755" i="103"/>
  <c r="E53" i="74"/>
  <c r="E55" i="74"/>
  <c r="E762" i="103"/>
  <c r="H33" i="86"/>
  <c r="D71" i="74"/>
  <c r="D778" i="103"/>
  <c r="E760" i="103"/>
  <c r="C772" i="103"/>
  <c r="C773" i="103"/>
  <c r="C777" i="103"/>
  <c r="B66" i="74"/>
  <c r="B70" i="74"/>
  <c r="D783" i="103"/>
  <c r="E76" i="74"/>
  <c r="I30" i="86"/>
  <c r="F72" i="74"/>
  <c r="F779" i="103"/>
  <c r="C57" i="74"/>
  <c r="D52" i="74"/>
  <c r="D759" i="103"/>
  <c r="D764" i="103"/>
  <c r="F56" i="74"/>
  <c r="F48" i="74"/>
  <c r="F755" i="103"/>
  <c r="F47" i="74"/>
  <c r="F754" i="103"/>
  <c r="G46" i="74"/>
  <c r="G54" i="74"/>
  <c r="G761" i="103"/>
  <c r="F53" i="74"/>
  <c r="F55" i="74"/>
  <c r="F762" i="103"/>
  <c r="E49" i="74"/>
  <c r="E756" i="103"/>
  <c r="E29" i="86"/>
  <c r="S30" i="74"/>
  <c r="F73" i="82"/>
  <c r="G63" i="74"/>
  <c r="G770" i="103"/>
  <c r="K51" i="82"/>
  <c r="K46" i="82"/>
  <c r="B25" i="82"/>
  <c r="I33" i="86"/>
  <c r="B64" i="82"/>
  <c r="B65" i="74"/>
  <c r="E71" i="74"/>
  <c r="E778" i="103"/>
  <c r="F760" i="103"/>
  <c r="D772" i="103"/>
  <c r="D773" i="103"/>
  <c r="D777" i="103"/>
  <c r="C70" i="74"/>
  <c r="C66" i="74"/>
  <c r="E783" i="103"/>
  <c r="F76" i="74"/>
  <c r="C50" i="86"/>
  <c r="G72" i="74"/>
  <c r="G779" i="103"/>
  <c r="C64" i="82"/>
  <c r="C66" i="82"/>
  <c r="C65" i="74"/>
  <c r="E52" i="74"/>
  <c r="E759" i="103"/>
  <c r="E764" i="103"/>
  <c r="C52" i="82"/>
  <c r="C54" i="82"/>
  <c r="G72" i="82"/>
  <c r="E72" i="82"/>
  <c r="F72" i="82"/>
  <c r="I72" i="82"/>
  <c r="B52" i="82"/>
  <c r="B54" i="82"/>
  <c r="C72" i="82"/>
  <c r="B72" i="82"/>
  <c r="H52" i="82"/>
  <c r="H54" i="82"/>
  <c r="H72" i="82"/>
  <c r="E52" i="82"/>
  <c r="E54" i="82"/>
  <c r="G52" i="82"/>
  <c r="G54" i="82"/>
  <c r="B26" i="82"/>
  <c r="J52" i="82"/>
  <c r="J54" i="82"/>
  <c r="J72" i="82"/>
  <c r="D72" i="82"/>
  <c r="D52" i="82"/>
  <c r="D54" i="82"/>
  <c r="K52" i="82"/>
  <c r="K54" i="82"/>
  <c r="F52" i="82"/>
  <c r="F54" i="82"/>
  <c r="I52" i="82"/>
  <c r="I54" i="82"/>
  <c r="K72" i="82"/>
  <c r="E37" i="86"/>
  <c r="E38" i="86"/>
  <c r="E40" i="86"/>
  <c r="E44" i="86"/>
  <c r="K15" i="86"/>
  <c r="F49" i="74"/>
  <c r="F756" i="103"/>
  <c r="S31" i="74"/>
  <c r="F29" i="86"/>
  <c r="H63" i="74"/>
  <c r="H770" i="103"/>
  <c r="G73" i="82"/>
  <c r="B66" i="82"/>
  <c r="B71" i="82"/>
  <c r="C53" i="86"/>
  <c r="D57" i="74"/>
  <c r="G56" i="74"/>
  <c r="G48" i="74"/>
  <c r="G755" i="103"/>
  <c r="H46" i="74"/>
  <c r="H54" i="74"/>
  <c r="H761" i="103"/>
  <c r="G47" i="74"/>
  <c r="G754" i="103"/>
  <c r="G53" i="74"/>
  <c r="G55" i="74"/>
  <c r="G762" i="103"/>
  <c r="F71" i="74"/>
  <c r="F778" i="103"/>
  <c r="G760" i="103"/>
  <c r="E772" i="103"/>
  <c r="E777" i="103"/>
  <c r="E773" i="103"/>
  <c r="D66" i="74"/>
  <c r="D70" i="74"/>
  <c r="F783" i="103"/>
  <c r="G76" i="74"/>
  <c r="G783" i="103"/>
  <c r="D50" i="86"/>
  <c r="H72" i="74"/>
  <c r="H779" i="103"/>
  <c r="G29" i="86"/>
  <c r="G37" i="86"/>
  <c r="G38" i="86"/>
  <c r="G40" i="86"/>
  <c r="G44" i="86"/>
  <c r="K17" i="86"/>
  <c r="C71" i="82"/>
  <c r="C74" i="82"/>
  <c r="C75" i="82"/>
  <c r="C76" i="82"/>
  <c r="S32" i="74"/>
  <c r="E57" i="74"/>
  <c r="B74" i="82"/>
  <c r="B75" i="82"/>
  <c r="B55" i="82"/>
  <c r="B56" i="82"/>
  <c r="B5" i="82"/>
  <c r="B6" i="82"/>
  <c r="B7" i="82"/>
  <c r="B28" i="82"/>
  <c r="B58" i="82"/>
  <c r="C58" i="82"/>
  <c r="D58" i="82"/>
  <c r="E58" i="82"/>
  <c r="F58" i="82"/>
  <c r="G58" i="82"/>
  <c r="H58" i="82"/>
  <c r="I58" i="82"/>
  <c r="J58" i="82"/>
  <c r="K58" i="82"/>
  <c r="B78" i="82"/>
  <c r="C78" i="82"/>
  <c r="D78" i="82"/>
  <c r="E78" i="82"/>
  <c r="F78" i="82"/>
  <c r="G78" i="82"/>
  <c r="H78" i="82"/>
  <c r="I78" i="82"/>
  <c r="J78" i="82"/>
  <c r="K78" i="82"/>
  <c r="B9" i="82"/>
  <c r="B10" i="82"/>
  <c r="B11" i="82"/>
  <c r="J55" i="82"/>
  <c r="J56" i="82"/>
  <c r="H73" i="82"/>
  <c r="I63" i="74"/>
  <c r="I770" i="103"/>
  <c r="K55" i="82"/>
  <c r="K56" i="82"/>
  <c r="I55" i="82"/>
  <c r="I56" i="82"/>
  <c r="G55" i="82"/>
  <c r="G56" i="82"/>
  <c r="H56" i="74"/>
  <c r="H47" i="74"/>
  <c r="H754" i="103"/>
  <c r="H48" i="74"/>
  <c r="H755" i="103"/>
  <c r="I46" i="74"/>
  <c r="I54" i="74"/>
  <c r="I761" i="103"/>
  <c r="H53" i="74"/>
  <c r="H55" i="74"/>
  <c r="H762" i="103"/>
  <c r="D53" i="86"/>
  <c r="F52" i="74"/>
  <c r="F759" i="103"/>
  <c r="F764" i="103"/>
  <c r="F55" i="82"/>
  <c r="F56" i="82"/>
  <c r="D55" i="82"/>
  <c r="D56" i="82"/>
  <c r="H55" i="82"/>
  <c r="H56" i="82"/>
  <c r="C55" i="82"/>
  <c r="C56" i="82"/>
  <c r="F37" i="86"/>
  <c r="F38" i="86"/>
  <c r="F40" i="86"/>
  <c r="F44" i="86"/>
  <c r="K16" i="86"/>
  <c r="E55" i="82"/>
  <c r="E56" i="82"/>
  <c r="G49" i="74"/>
  <c r="G756" i="103"/>
  <c r="D65" i="74"/>
  <c r="D64" i="82"/>
  <c r="G71" i="74"/>
  <c r="G778" i="103"/>
  <c r="H760" i="103"/>
  <c r="E66" i="74"/>
  <c r="E70" i="74"/>
  <c r="F772" i="103"/>
  <c r="F777" i="103"/>
  <c r="F773" i="103"/>
  <c r="D57" i="86"/>
  <c r="D58" i="86"/>
  <c r="D60" i="86"/>
  <c r="D64" i="86"/>
  <c r="K21" i="86"/>
  <c r="E50" i="86"/>
  <c r="I72" i="74"/>
  <c r="I779" i="103"/>
  <c r="E64" i="82"/>
  <c r="E71" i="82"/>
  <c r="E74" i="82"/>
  <c r="E65" i="74"/>
  <c r="B76" i="82"/>
  <c r="E53" i="86"/>
  <c r="H29" i="86"/>
  <c r="S33" i="74"/>
  <c r="J46" i="74"/>
  <c r="J54" i="74"/>
  <c r="J761" i="103"/>
  <c r="I56" i="74"/>
  <c r="I47" i="74"/>
  <c r="I754" i="103"/>
  <c r="I48" i="74"/>
  <c r="I755" i="103"/>
  <c r="I53" i="74"/>
  <c r="I55" i="74"/>
  <c r="I762" i="103"/>
  <c r="D71" i="82"/>
  <c r="D74" i="82"/>
  <c r="D66" i="82"/>
  <c r="B29" i="82"/>
  <c r="G21" i="82"/>
  <c r="G52" i="74"/>
  <c r="G759" i="103"/>
  <c r="G764" i="103"/>
  <c r="H49" i="74"/>
  <c r="H756" i="103"/>
  <c r="J63" i="74"/>
  <c r="J770" i="103"/>
  <c r="I73" i="82"/>
  <c r="F57" i="74"/>
  <c r="H778" i="103"/>
  <c r="H71" i="74"/>
  <c r="I760" i="103"/>
  <c r="F70" i="74"/>
  <c r="F66" i="74"/>
  <c r="G772" i="103"/>
  <c r="G773" i="103"/>
  <c r="G777" i="103"/>
  <c r="E57" i="86"/>
  <c r="E58" i="86"/>
  <c r="E60" i="86"/>
  <c r="E64" i="86"/>
  <c r="K22" i="86"/>
  <c r="F50" i="86"/>
  <c r="J72" i="74"/>
  <c r="J779" i="103"/>
  <c r="E66" i="82"/>
  <c r="S34" i="74"/>
  <c r="I29" i="86"/>
  <c r="I37" i="86"/>
  <c r="I38" i="86"/>
  <c r="I40" i="86"/>
  <c r="I44" i="86"/>
  <c r="K19" i="86"/>
  <c r="J48" i="74"/>
  <c r="J755" i="103"/>
  <c r="K46" i="74"/>
  <c r="K54" i="74"/>
  <c r="K761" i="103"/>
  <c r="J56" i="74"/>
  <c r="J47" i="74"/>
  <c r="J754" i="103"/>
  <c r="J53" i="74"/>
  <c r="J55" i="74"/>
  <c r="J762" i="103"/>
  <c r="H37" i="86"/>
  <c r="H38" i="86"/>
  <c r="H40" i="86"/>
  <c r="H44" i="86"/>
  <c r="K18" i="86"/>
  <c r="G57" i="74"/>
  <c r="F65" i="74"/>
  <c r="F64" i="82"/>
  <c r="I49" i="74"/>
  <c r="I756" i="103"/>
  <c r="J73" i="82"/>
  <c r="K63" i="74"/>
  <c r="K770" i="103"/>
  <c r="D75" i="82"/>
  <c r="D76" i="82"/>
  <c r="E75" i="82"/>
  <c r="E76" i="82"/>
  <c r="H52" i="74"/>
  <c r="H759" i="103"/>
  <c r="H764" i="103"/>
  <c r="F53" i="86"/>
  <c r="I71" i="74"/>
  <c r="I778" i="103"/>
  <c r="J760" i="103"/>
  <c r="H772" i="103"/>
  <c r="H777" i="103"/>
  <c r="H773" i="103"/>
  <c r="G66" i="74"/>
  <c r="G70" i="74"/>
  <c r="F57" i="86"/>
  <c r="F58" i="86"/>
  <c r="F60" i="86"/>
  <c r="F64" i="86"/>
  <c r="K23" i="86"/>
  <c r="G50" i="86"/>
  <c r="K72" i="74"/>
  <c r="K779" i="103"/>
  <c r="I52" i="74"/>
  <c r="I759" i="103"/>
  <c r="I764" i="103"/>
  <c r="F66" i="82"/>
  <c r="F71" i="82"/>
  <c r="F74" i="82"/>
  <c r="G53" i="86"/>
  <c r="G64" i="82"/>
  <c r="G65" i="74"/>
  <c r="J49" i="74"/>
  <c r="J756" i="103"/>
  <c r="C49" i="86"/>
  <c r="S35" i="74"/>
  <c r="K73" i="82"/>
  <c r="B95" i="74"/>
  <c r="B802" i="103"/>
  <c r="B78" i="74"/>
  <c r="B86" i="74"/>
  <c r="B793" i="103"/>
  <c r="K56" i="74"/>
  <c r="K47" i="74"/>
  <c r="K754" i="103"/>
  <c r="K48" i="74"/>
  <c r="K755" i="103"/>
  <c r="K53" i="74"/>
  <c r="K55" i="74"/>
  <c r="K762" i="103"/>
  <c r="H57" i="74"/>
  <c r="J71" i="74"/>
  <c r="J778" i="103"/>
  <c r="K760" i="103"/>
  <c r="H66" i="74"/>
  <c r="H70" i="74"/>
  <c r="I772" i="103"/>
  <c r="I773" i="103"/>
  <c r="I777" i="103"/>
  <c r="G57" i="86"/>
  <c r="G58" i="86"/>
  <c r="G60" i="86"/>
  <c r="G64" i="86"/>
  <c r="K24" i="86"/>
  <c r="B103" i="74"/>
  <c r="B810" i="103"/>
  <c r="L100" i="85"/>
  <c r="O8" i="86"/>
  <c r="O14" i="86"/>
  <c r="O33" i="86"/>
  <c r="H63" i="86"/>
  <c r="L70" i="85"/>
  <c r="H50" i="86"/>
  <c r="F47" i="68"/>
  <c r="F90" i="103"/>
  <c r="I57" i="74"/>
  <c r="J52" i="74"/>
  <c r="J759" i="103"/>
  <c r="J764" i="103"/>
  <c r="C57" i="86"/>
  <c r="C58" i="86"/>
  <c r="C60" i="86"/>
  <c r="C64" i="86"/>
  <c r="K20" i="86"/>
  <c r="F75" i="82"/>
  <c r="F76" i="82"/>
  <c r="B88" i="74"/>
  <c r="B79" i="74"/>
  <c r="B786" i="103"/>
  <c r="B80" i="74"/>
  <c r="B787" i="103"/>
  <c r="C78" i="74"/>
  <c r="C86" i="74"/>
  <c r="C793" i="103"/>
  <c r="B85" i="74"/>
  <c r="B87" i="74"/>
  <c r="B794" i="103"/>
  <c r="S36" i="74"/>
  <c r="H64" i="82"/>
  <c r="H65" i="74"/>
  <c r="H53" i="86"/>
  <c r="G66" i="82"/>
  <c r="G71" i="82"/>
  <c r="G74" i="82"/>
  <c r="K49" i="74"/>
  <c r="K756" i="103"/>
  <c r="C95" i="74"/>
  <c r="C802" i="103"/>
  <c r="K71" i="74"/>
  <c r="K778" i="103"/>
  <c r="B792" i="103"/>
  <c r="J772" i="103"/>
  <c r="J773" i="103"/>
  <c r="J777" i="103"/>
  <c r="I66" i="74"/>
  <c r="I70" i="74"/>
  <c r="H57" i="86"/>
  <c r="H58" i="86"/>
  <c r="H60" i="86"/>
  <c r="H64" i="86"/>
  <c r="K25" i="86"/>
  <c r="C86" i="90"/>
  <c r="F61" i="89"/>
  <c r="C103" i="74"/>
  <c r="C810" i="103"/>
  <c r="I65" i="74"/>
  <c r="L47" i="68"/>
  <c r="L90" i="103"/>
  <c r="J57" i="74"/>
  <c r="I64" i="82"/>
  <c r="I66" i="82"/>
  <c r="K52" i="74"/>
  <c r="K759" i="103"/>
  <c r="K764" i="103"/>
  <c r="B81" i="74"/>
  <c r="B788" i="103"/>
  <c r="S37" i="74"/>
  <c r="D95" i="74"/>
  <c r="D802" i="103"/>
  <c r="H66" i="82"/>
  <c r="H71" i="82"/>
  <c r="H74" i="82"/>
  <c r="C79" i="74"/>
  <c r="C786" i="103"/>
  <c r="D78" i="74"/>
  <c r="D86" i="74"/>
  <c r="D793" i="103"/>
  <c r="C88" i="74"/>
  <c r="C80" i="74"/>
  <c r="C787" i="103"/>
  <c r="C85" i="74"/>
  <c r="C87" i="74"/>
  <c r="C794" i="103"/>
  <c r="G75" i="82"/>
  <c r="G76" i="82"/>
  <c r="B102" i="74"/>
  <c r="B809" i="103"/>
  <c r="C792" i="103"/>
  <c r="J66" i="74"/>
  <c r="J70" i="74"/>
  <c r="K772" i="103"/>
  <c r="K773" i="103"/>
  <c r="K777" i="103"/>
  <c r="D103" i="74"/>
  <c r="D810" i="103"/>
  <c r="I71" i="82"/>
  <c r="I74" i="82"/>
  <c r="I75" i="82"/>
  <c r="I76" i="82"/>
  <c r="J65" i="74"/>
  <c r="F85" i="92"/>
  <c r="F89" i="92"/>
  <c r="F105" i="92"/>
  <c r="S38" i="74"/>
  <c r="J64" i="82"/>
  <c r="J66" i="82"/>
  <c r="E78" i="74"/>
  <c r="E86" i="74"/>
  <c r="E793" i="103"/>
  <c r="D79" i="74"/>
  <c r="D786" i="103"/>
  <c r="D80" i="74"/>
  <c r="D787" i="103"/>
  <c r="D88" i="74"/>
  <c r="D85" i="74"/>
  <c r="D87" i="74"/>
  <c r="D794" i="103"/>
  <c r="C81" i="74"/>
  <c r="C788" i="103"/>
  <c r="E95" i="74"/>
  <c r="E802" i="103"/>
  <c r="B84" i="74"/>
  <c r="B791" i="103"/>
  <c r="B796" i="103"/>
  <c r="H75" i="82"/>
  <c r="H76" i="82"/>
  <c r="K57" i="74"/>
  <c r="C102" i="74"/>
  <c r="C809" i="103"/>
  <c r="D792" i="103"/>
  <c r="K66" i="74"/>
  <c r="K70" i="74"/>
  <c r="B803" i="103"/>
  <c r="B804" i="103"/>
  <c r="B808" i="103"/>
  <c r="E103" i="74"/>
  <c r="E810" i="103"/>
  <c r="S39" i="74"/>
  <c r="J71" i="82"/>
  <c r="J74" i="82"/>
  <c r="J75" i="82"/>
  <c r="J76" i="82"/>
  <c r="C84" i="74"/>
  <c r="C791" i="103"/>
  <c r="C796" i="103"/>
  <c r="F95" i="74"/>
  <c r="F802" i="103"/>
  <c r="K65" i="74"/>
  <c r="K64" i="82"/>
  <c r="D81" i="74"/>
  <c r="D788" i="103"/>
  <c r="F78" i="74"/>
  <c r="F86" i="74"/>
  <c r="F793" i="103"/>
  <c r="E88" i="74"/>
  <c r="E79" i="74"/>
  <c r="E786" i="103"/>
  <c r="E80" i="74"/>
  <c r="E787" i="103"/>
  <c r="E85" i="74"/>
  <c r="E87" i="74"/>
  <c r="E794" i="103"/>
  <c r="B89" i="74"/>
  <c r="D102" i="74"/>
  <c r="D809" i="103"/>
  <c r="E792" i="103"/>
  <c r="B97" i="74"/>
  <c r="B101" i="74"/>
  <c r="C803" i="103"/>
  <c r="C804" i="103"/>
  <c r="C808" i="103"/>
  <c r="F103" i="74"/>
  <c r="F810" i="103"/>
  <c r="B96" i="74"/>
  <c r="C89" i="74"/>
  <c r="D84" i="74"/>
  <c r="D791" i="103"/>
  <c r="D796" i="103"/>
  <c r="E81" i="74"/>
  <c r="E788" i="103"/>
  <c r="K71" i="82"/>
  <c r="K74" i="82"/>
  <c r="K66" i="82"/>
  <c r="F88" i="74"/>
  <c r="G78" i="74"/>
  <c r="G86" i="74"/>
  <c r="G793" i="103"/>
  <c r="F80" i="74"/>
  <c r="F787" i="103"/>
  <c r="F79" i="74"/>
  <c r="F786" i="103"/>
  <c r="F85" i="74"/>
  <c r="F87" i="74"/>
  <c r="F794" i="103"/>
  <c r="S40" i="74"/>
  <c r="G95" i="74"/>
  <c r="G802" i="103"/>
  <c r="E102" i="74"/>
  <c r="E809" i="103"/>
  <c r="F792" i="103"/>
  <c r="C97" i="74"/>
  <c r="C101" i="74"/>
  <c r="D803" i="103"/>
  <c r="D804" i="103"/>
  <c r="D808" i="103"/>
  <c r="G103" i="74"/>
  <c r="G810" i="103"/>
  <c r="C96" i="74"/>
  <c r="E84" i="74"/>
  <c r="E791" i="103"/>
  <c r="E796" i="103"/>
  <c r="G79" i="74"/>
  <c r="G786" i="103"/>
  <c r="G88" i="74"/>
  <c r="G80" i="74"/>
  <c r="G787" i="103"/>
  <c r="H78" i="74"/>
  <c r="H86" i="74"/>
  <c r="H793" i="103"/>
  <c r="G85" i="74"/>
  <c r="G87" i="74"/>
  <c r="G794" i="103"/>
  <c r="K75" i="82"/>
  <c r="K76" i="82"/>
  <c r="H95" i="74"/>
  <c r="H802" i="103"/>
  <c r="F81" i="74"/>
  <c r="F788" i="103"/>
  <c r="D89" i="74"/>
  <c r="F102" i="74"/>
  <c r="F809" i="103"/>
  <c r="G792" i="103"/>
  <c r="E803" i="103"/>
  <c r="E808" i="103"/>
  <c r="E804" i="103"/>
  <c r="D97" i="74"/>
  <c r="D101" i="74"/>
  <c r="H103" i="74"/>
  <c r="H810" i="103"/>
  <c r="D96" i="74"/>
  <c r="E89" i="74"/>
  <c r="F84" i="74"/>
  <c r="F791" i="103"/>
  <c r="F796" i="103"/>
  <c r="H88" i="74"/>
  <c r="H80" i="74"/>
  <c r="H787" i="103"/>
  <c r="H79" i="74"/>
  <c r="H786" i="103"/>
  <c r="I78" i="74"/>
  <c r="I86" i="74"/>
  <c r="I793" i="103"/>
  <c r="H85" i="74"/>
  <c r="H87" i="74"/>
  <c r="H794" i="103"/>
  <c r="G81" i="74"/>
  <c r="G788" i="103"/>
  <c r="I95" i="74"/>
  <c r="I802" i="103"/>
  <c r="G102" i="74"/>
  <c r="G809" i="103"/>
  <c r="H792" i="103"/>
  <c r="E97" i="74"/>
  <c r="E101" i="74"/>
  <c r="F803" i="103"/>
  <c r="F804" i="103"/>
  <c r="F808" i="103"/>
  <c r="I103" i="74"/>
  <c r="I810" i="103"/>
  <c r="E96" i="74"/>
  <c r="F89" i="74"/>
  <c r="G84" i="74"/>
  <c r="G791" i="103"/>
  <c r="G796" i="103"/>
  <c r="I88" i="74"/>
  <c r="I79" i="74"/>
  <c r="I786" i="103"/>
  <c r="J78" i="74"/>
  <c r="J86" i="74"/>
  <c r="J793" i="103"/>
  <c r="I80" i="74"/>
  <c r="I787" i="103"/>
  <c r="I85" i="74"/>
  <c r="I87" i="74"/>
  <c r="I794" i="103"/>
  <c r="H81" i="74"/>
  <c r="H788" i="103"/>
  <c r="J95" i="74"/>
  <c r="J802" i="103"/>
  <c r="H102" i="74"/>
  <c r="H809" i="103"/>
  <c r="I792" i="103"/>
  <c r="F101" i="74"/>
  <c r="F97" i="74"/>
  <c r="G803" i="103"/>
  <c r="G804" i="103"/>
  <c r="G808" i="103"/>
  <c r="J103" i="74"/>
  <c r="J810" i="103"/>
  <c r="F96" i="74"/>
  <c r="J80" i="74"/>
  <c r="J787" i="103"/>
  <c r="K78" i="74"/>
  <c r="K86" i="74"/>
  <c r="K793" i="103"/>
  <c r="J79" i="74"/>
  <c r="J786" i="103"/>
  <c r="J88" i="74"/>
  <c r="J85" i="74"/>
  <c r="J87" i="74"/>
  <c r="J794" i="103"/>
  <c r="I81" i="74"/>
  <c r="I788" i="103"/>
  <c r="K95" i="74"/>
  <c r="K802" i="103"/>
  <c r="G89" i="74"/>
  <c r="H84" i="74"/>
  <c r="H791" i="103"/>
  <c r="H796" i="103"/>
  <c r="I102" i="74"/>
  <c r="I809" i="103"/>
  <c r="J792" i="103"/>
  <c r="G97" i="74"/>
  <c r="G101" i="74"/>
  <c r="H803" i="103"/>
  <c r="H808" i="103"/>
  <c r="H804" i="103"/>
  <c r="K103" i="74"/>
  <c r="K810" i="103"/>
  <c r="G96" i="74"/>
  <c r="H89" i="74"/>
  <c r="J81" i="74"/>
  <c r="J788" i="103"/>
  <c r="B125" i="74"/>
  <c r="B832" i="103"/>
  <c r="K80" i="74"/>
  <c r="K787" i="103"/>
  <c r="B108" i="74"/>
  <c r="B116" i="74"/>
  <c r="B823" i="103"/>
  <c r="K88" i="74"/>
  <c r="K79" i="74"/>
  <c r="K786" i="103"/>
  <c r="K85" i="74"/>
  <c r="K87" i="74"/>
  <c r="K794" i="103"/>
  <c r="I84" i="74"/>
  <c r="I791" i="103"/>
  <c r="I796" i="103"/>
  <c r="J102" i="74"/>
  <c r="J809" i="103"/>
  <c r="K792" i="103"/>
  <c r="H97" i="74"/>
  <c r="H101" i="74"/>
  <c r="I803" i="103"/>
  <c r="I808" i="103"/>
  <c r="I804" i="103"/>
  <c r="B133" i="74"/>
  <c r="B840" i="103"/>
  <c r="H96" i="74"/>
  <c r="J84" i="74"/>
  <c r="J791" i="103"/>
  <c r="J796" i="103"/>
  <c r="K81" i="74"/>
  <c r="K788" i="103"/>
  <c r="C125" i="74"/>
  <c r="C832" i="103"/>
  <c r="I89" i="74"/>
  <c r="B109" i="74"/>
  <c r="B816" i="103"/>
  <c r="C108" i="74"/>
  <c r="C116" i="74"/>
  <c r="C823" i="103"/>
  <c r="B110" i="74"/>
  <c r="B817" i="103"/>
  <c r="B118" i="74"/>
  <c r="B115" i="74"/>
  <c r="B117" i="74"/>
  <c r="B824" i="103"/>
  <c r="K102" i="74"/>
  <c r="K809" i="103"/>
  <c r="B822" i="103"/>
  <c r="I97" i="74"/>
  <c r="I101" i="74"/>
  <c r="J803" i="103"/>
  <c r="J808" i="103"/>
  <c r="J804" i="103"/>
  <c r="C133" i="74"/>
  <c r="C840" i="103"/>
  <c r="I96" i="74"/>
  <c r="J89" i="74"/>
  <c r="K84" i="74"/>
  <c r="K791" i="103"/>
  <c r="K796" i="103"/>
  <c r="D108" i="74"/>
  <c r="D116" i="74"/>
  <c r="D823" i="103"/>
  <c r="C109" i="74"/>
  <c r="C816" i="103"/>
  <c r="C118" i="74"/>
  <c r="C110" i="74"/>
  <c r="C817" i="103"/>
  <c r="C115" i="74"/>
  <c r="C117" i="74"/>
  <c r="C824" i="103"/>
  <c r="D125" i="74"/>
  <c r="D832" i="103"/>
  <c r="B111" i="74"/>
  <c r="B818" i="103"/>
  <c r="B132" i="74"/>
  <c r="B839" i="103"/>
  <c r="C822" i="103"/>
  <c r="J97" i="74"/>
  <c r="J101" i="74"/>
  <c r="K803" i="103"/>
  <c r="K804" i="103"/>
  <c r="K808" i="103"/>
  <c r="D133" i="74"/>
  <c r="D840" i="103"/>
  <c r="K89" i="74"/>
  <c r="J96" i="74"/>
  <c r="B114" i="74"/>
  <c r="B821" i="103"/>
  <c r="B826" i="103"/>
  <c r="C111" i="74"/>
  <c r="C818" i="103"/>
  <c r="E125" i="74"/>
  <c r="E832" i="103"/>
  <c r="D118" i="74"/>
  <c r="D109" i="74"/>
  <c r="D816" i="103"/>
  <c r="E108" i="74"/>
  <c r="E116" i="74"/>
  <c r="E823" i="103"/>
  <c r="D110" i="74"/>
  <c r="D817" i="103"/>
  <c r="D115" i="74"/>
  <c r="D117" i="74"/>
  <c r="D824" i="103"/>
  <c r="C132" i="74"/>
  <c r="C839" i="103"/>
  <c r="D822" i="103"/>
  <c r="K97" i="74"/>
  <c r="K101" i="74"/>
  <c r="B833" i="103"/>
  <c r="B834" i="103"/>
  <c r="B838" i="103"/>
  <c r="E133" i="74"/>
  <c r="E840" i="103"/>
  <c r="K96" i="74"/>
  <c r="B119" i="74"/>
  <c r="C114" i="74"/>
  <c r="C821" i="103"/>
  <c r="C826" i="103"/>
  <c r="F125" i="74"/>
  <c r="F832" i="103"/>
  <c r="F108" i="74"/>
  <c r="F116" i="74"/>
  <c r="F823" i="103"/>
  <c r="E109" i="74"/>
  <c r="E816" i="103"/>
  <c r="E118" i="74"/>
  <c r="E110" i="74"/>
  <c r="E817" i="103"/>
  <c r="E115" i="74"/>
  <c r="E117" i="74"/>
  <c r="E824" i="103"/>
  <c r="D111" i="74"/>
  <c r="D818" i="103"/>
  <c r="D839" i="103"/>
  <c r="D132" i="74"/>
  <c r="E822" i="103"/>
  <c r="B127" i="74"/>
  <c r="B131" i="74"/>
  <c r="C833" i="103"/>
  <c r="C834" i="103"/>
  <c r="C838" i="103"/>
  <c r="F133" i="74"/>
  <c r="F840" i="103"/>
  <c r="B126" i="74"/>
  <c r="C119" i="74"/>
  <c r="E111" i="74"/>
  <c r="E818" i="103"/>
  <c r="F118" i="74"/>
  <c r="F110" i="74"/>
  <c r="F817" i="103"/>
  <c r="F109" i="74"/>
  <c r="F816" i="103"/>
  <c r="F115" i="74"/>
  <c r="F117" i="74"/>
  <c r="F824" i="103"/>
  <c r="D114" i="74"/>
  <c r="D821" i="103"/>
  <c r="D826" i="103"/>
  <c r="E132" i="74"/>
  <c r="E839" i="103"/>
  <c r="F822" i="103"/>
  <c r="D833" i="103"/>
  <c r="D838" i="103"/>
  <c r="D834" i="103"/>
  <c r="C127" i="74"/>
  <c r="C131" i="74"/>
  <c r="C126" i="74"/>
  <c r="E114" i="74"/>
  <c r="E821" i="103"/>
  <c r="E826" i="103"/>
  <c r="F111" i="74"/>
  <c r="F818" i="103"/>
  <c r="D119" i="74"/>
  <c r="F839" i="103"/>
  <c r="F132" i="74"/>
  <c r="E833" i="103"/>
  <c r="E834" i="103"/>
  <c r="E838" i="103"/>
  <c r="D127" i="74"/>
  <c r="D131" i="74"/>
  <c r="D126" i="74"/>
  <c r="E119" i="74"/>
  <c r="F114" i="74"/>
  <c r="F821" i="103"/>
  <c r="F826" i="103"/>
  <c r="F833" i="103"/>
  <c r="F838" i="103"/>
  <c r="F834" i="103"/>
  <c r="E127" i="74"/>
  <c r="E131" i="74"/>
  <c r="E126" i="74"/>
  <c r="F119" i="74"/>
  <c r="F127" i="74"/>
  <c r="F131" i="74"/>
  <c r="F126" i="74"/>
  <c r="E15" i="72"/>
  <c r="E20" i="72"/>
  <c r="E21" i="72"/>
  <c r="E16" i="72"/>
  <c r="P233" i="72"/>
  <c r="P442" i="72"/>
  <c r="O6" i="72"/>
  <c r="L233" i="72"/>
  <c r="L191" i="72"/>
  <c r="AE45" i="72"/>
  <c r="AE63" i="72"/>
  <c r="AD45" i="72"/>
  <c r="AD63" i="72"/>
  <c r="Y45" i="72"/>
  <c r="Y63" i="72"/>
  <c r="X45" i="72"/>
  <c r="X63" i="72"/>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r>
          <rPr>
            <sz val="10"/>
            <rFont val="Arial"/>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<sst xmlns="http://schemas.openxmlformats.org/spreadsheetml/2006/main" count="19318" uniqueCount="7131">
  <si>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</si>
  <si>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</si>
  <si>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</si>
  <si>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</si>
  <si>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</si>
  <si>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</si>
  <si>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</si>
  <si>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</si>
  <si>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</si>
  <si>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</si>
  <si>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</si>
  <si>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</si>
  <si>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</si>
  <si>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</si>
  <si>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</si>
  <si>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</si>
  <si>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</si>
  <si>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</si>
  <si>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</si>
  <si>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</si>
  <si>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</si>
  <si>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</si>
  <si>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</si>
  <si>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</si>
  <si>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</si>
  <si>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</si>
  <si>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</si>
  <si>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</si>
  <si>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</si>
  <si>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</si>
  <si>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</si>
  <si>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</si>
  <si>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</si>
  <si>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</si>
  <si>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</si>
  <si>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</si>
  <si>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</si>
  <si>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</si>
  <si>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</si>
  <si>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</si>
  <si>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</si>
  <si>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</si>
  <si>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</si>
  <si>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</si>
  <si>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</si>
  <si>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</si>
  <si>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</si>
  <si>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</si>
  <si>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</si>
  <si>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</si>
  <si>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</si>
  <si>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</si>
  <si>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</si>
  <si>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</si>
  <si>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</si>
  <si>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</si>
  <si>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</si>
  <si>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</si>
  <si>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</si>
  <si>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</si>
  <si>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</si>
  <si>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</si>
  <si>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</si>
  <si>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</si>
  <si>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</si>
  <si>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</si>
  <si>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</si>
  <si>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</si>
  <si>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</si>
  <si>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</si>
  <si>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</si>
  <si>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</si>
  <si>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</si>
  <si>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</si>
  <si>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</si>
  <si>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</si>
  <si>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</si>
  <si>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</si>
  <si>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</si>
  <si>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</si>
  <si>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</si>
  <si>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</si>
  <si>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</si>
  <si>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</si>
  <si>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</si>
  <si>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</si>
  <si>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</si>
  <si>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</si>
  <si>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</si>
  <si>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</si>
  <si>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</si>
  <si>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</si>
  <si>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</si>
  <si>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</si>
  <si>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</si>
  <si>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</si>
  <si>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</si>
  <si>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</si>
  <si>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</si>
  <si>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</si>
  <si>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</si>
  <si>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</si>
  <si>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</si>
  <si>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</si>
  <si>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</si>
  <si>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</si>
  <si>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</si>
  <si>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</si>
  <si>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</si>
  <si>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</si>
  <si>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</si>
  <si>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</si>
  <si>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</si>
  <si>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</si>
  <si>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</si>
  <si>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</si>
  <si>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</si>
  <si>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</si>
  <si>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</si>
  <si>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</si>
  <si>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</si>
  <si>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</si>
  <si>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</si>
  <si>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</si>
  <si>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</si>
  <si>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</si>
  <si>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</si>
  <si>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</si>
  <si>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</si>
  <si>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</si>
  <si>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</si>
  <si>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</si>
  <si>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</si>
  <si>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</si>
  <si>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</si>
  <si>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</si>
  <si>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</si>
  <si>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</si>
  <si>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</si>
  <si>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</si>
  <si>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</si>
  <si>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</si>
  <si>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</si>
  <si>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</si>
  <si>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</si>
  <si>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</si>
  <si>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</si>
  <si>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</si>
  <si>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</si>
  <si>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</si>
  <si>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</si>
  <si>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</si>
  <si>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</si>
  <si>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</si>
  <si>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</si>
  <si>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</si>
  <si>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</si>
  <si>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</si>
  <si>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</si>
  <si>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</si>
  <si>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</si>
  <si>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</si>
  <si>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</si>
  <si>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</si>
  <si>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</si>
  <si>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</si>
  <si>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</si>
  <si>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</si>
  <si>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</si>
  <si>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</si>
  <si>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</si>
  <si>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</si>
  <si>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</si>
  <si>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</si>
  <si>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</si>
  <si>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</si>
  <si>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</si>
  <si>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</si>
  <si>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</si>
  <si>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</si>
  <si>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</si>
  <si>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</si>
  <si>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</si>
  <si>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</si>
  <si>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</si>
  <si>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</si>
  <si>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</si>
  <si>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</si>
  <si>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</si>
  <si>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</si>
  <si>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</si>
  <si>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</si>
  <si>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</si>
  <si>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</si>
  <si>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</si>
  <si>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</si>
  <si>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</si>
  <si>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</si>
  <si>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</si>
  <si>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</si>
  <si>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</si>
  <si>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</si>
  <si>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</si>
  <si>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</si>
  <si>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</si>
  <si>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</si>
  <si>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</si>
  <si>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</si>
  <si>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</si>
  <si>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</si>
  <si>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</si>
  <si>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</si>
  <si>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</si>
  <si>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</si>
  <si>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</si>
  <si>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</si>
  <si>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</si>
  <si>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</si>
  <si>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</si>
  <si>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</si>
  <si>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</si>
  <si>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</si>
  <si>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</si>
  <si>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</si>
  <si>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</si>
  <si>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</si>
  <si>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</si>
  <si>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</si>
  <si>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</si>
  <si>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</si>
  <si>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</si>
  <si>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</si>
  <si>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</si>
  <si>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</si>
  <si>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</si>
  <si>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</si>
  <si>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</si>
  <si>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</si>
  <si>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</si>
  <si>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</si>
  <si>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</si>
  <si>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</si>
  <si>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</si>
  <si>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</si>
  <si>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</si>
  <si>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</si>
  <si>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</si>
  <si>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</si>
  <si>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</si>
  <si>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</si>
  <si>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</si>
  <si>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</si>
  <si>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</si>
  <si>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</si>
  <si>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</si>
  <si>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</si>
  <si>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</si>
  <si>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</si>
  <si>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</si>
  <si>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</si>
  <si>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</si>
  <si>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</si>
  <si>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</si>
  <si>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</si>
  <si>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</si>
  <si>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</si>
  <si>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</si>
  <si>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</si>
  <si>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</si>
  <si>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</si>
  <si>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</si>
  <si>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</si>
  <si>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</si>
  <si>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</si>
  <si>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</si>
  <si>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</si>
  <si>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</si>
  <si>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</si>
  <si>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</si>
  <si>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</si>
  <si>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</si>
  <si>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</si>
  <si>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</si>
  <si>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</si>
  <si>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</si>
  <si>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</si>
  <si>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</si>
  <si>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</si>
  <si>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</si>
  <si>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</si>
  <si>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</si>
  <si>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</si>
  <si>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</si>
  <si>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</si>
  <si>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</si>
  <si>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</si>
  <si>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</si>
  <si>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</si>
  <si>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</si>
  <si>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</si>
  <si>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</si>
  <si>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</si>
  <si>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</si>
  <si>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</si>
  <si>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</si>
  <si>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</si>
  <si>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</si>
  <si>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</si>
  <si>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</si>
  <si>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</si>
  <si>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</si>
  <si>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</si>
  <si>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</si>
  <si>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</si>
  <si>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</si>
  <si>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</si>
  <si>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</si>
  <si>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</si>
  <si>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</si>
  <si>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</si>
  <si>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</si>
  <si>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</si>
  <si>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</si>
  <si>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</si>
  <si>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</si>
  <si>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</si>
  <si>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</si>
  <si>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</si>
  <si>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</si>
  <si>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</si>
  <si>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</si>
  <si>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</si>
  <si>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</si>
  <si>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</si>
  <si>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</si>
  <si>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</si>
  <si>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</si>
  <si>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</si>
  <si>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</si>
  <si>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</si>
  <si>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</si>
  <si>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</si>
  <si>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</si>
  <si>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</si>
  <si>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</si>
  <si>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</si>
  <si>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</si>
  <si>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</si>
  <si>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</si>
  <si>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</si>
  <si>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</si>
  <si>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</si>
  <si>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</si>
  <si>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</si>
  <si>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</si>
  <si>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</si>
  <si>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</si>
  <si>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</si>
  <si>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</si>
  <si>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</si>
  <si>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</si>
  <si>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</si>
  <si>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</si>
  <si>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</si>
  <si>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</si>
  <si>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</si>
  <si>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</si>
  <si>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</si>
  <si>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</si>
  <si>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</si>
  <si>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</si>
  <si>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</si>
  <si>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</si>
  <si>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</si>
  <si>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</si>
  <si>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</si>
  <si>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</si>
  <si>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</si>
  <si>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</si>
  <si>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</si>
  <si>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</si>
  <si>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</si>
  <si>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</si>
  <si>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</si>
  <si>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</si>
  <si>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</si>
  <si>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</si>
  <si>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</si>
  <si>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</si>
  <si>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</si>
  <si>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</si>
  <si>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</si>
  <si>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</si>
  <si>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</si>
  <si>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</si>
  <si>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</si>
  <si>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</si>
  <si>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</si>
  <si>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</si>
  <si>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</si>
  <si>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</si>
  <si>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</si>
  <si>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</si>
  <si>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</si>
  <si>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</si>
  <si>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</si>
  <si>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</si>
  <si>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</si>
  <si>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</si>
  <si>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</si>
  <si>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</si>
  <si>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</si>
  <si>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</si>
  <si>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</si>
  <si>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</si>
  <si>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</si>
  <si>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</si>
  <si>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</si>
  <si>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</si>
  <si>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</si>
  <si>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</si>
  <si>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</si>
  <si>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</si>
  <si>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</si>
  <si>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</si>
  <si>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</si>
  <si>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</si>
  <si>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</si>
  <si>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</si>
  <si>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</si>
  <si>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</si>
  <si>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</si>
  <si>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</si>
  <si>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</si>
  <si>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</si>
  <si>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</si>
  <si>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</si>
  <si>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</si>
  <si>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</si>
  <si>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</si>
  <si>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</si>
  <si>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</si>
  <si>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</si>
  <si>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</si>
  <si>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</si>
  <si>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</si>
  <si>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</si>
  <si>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</si>
  <si>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</si>
  <si>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</si>
  <si>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</si>
  <si>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</si>
  <si>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</si>
  <si>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</si>
  <si>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</si>
  <si>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</si>
  <si>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</si>
  <si>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</si>
  <si>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</si>
  <si>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</si>
  <si>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</si>
  <si>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</si>
  <si>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</si>
  <si>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</si>
  <si>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</si>
  <si>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</si>
  <si>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</si>
  <si>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</si>
  <si>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</si>
  <si>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</si>
  <si>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</si>
  <si>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</si>
  <si>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</si>
  <si>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</si>
  <si>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</si>
  <si>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</si>
  <si>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</si>
  <si>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</si>
  <si>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</si>
  <si>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</si>
  <si>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</si>
  <si>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</si>
  <si>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</si>
  <si>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</si>
  <si>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</si>
  <si>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</si>
  <si>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</si>
  <si>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</si>
  <si>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</si>
  <si>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</si>
  <si>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</si>
  <si>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</si>
  <si>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</si>
  <si>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</si>
  <si>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</si>
  <si>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</si>
  <si>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</si>
  <si>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</si>
  <si>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</si>
  <si>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</si>
  <si>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</si>
  <si>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</si>
  <si>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</si>
  <si>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</si>
  <si>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</si>
  <si>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</si>
  <si>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</si>
  <si>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</si>
  <si>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</si>
  <si>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</si>
  <si>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</si>
  <si>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</si>
  <si>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</si>
  <si>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</si>
  <si>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</si>
  <si>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</si>
  <si>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</si>
  <si>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</si>
  <si>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</si>
  <si>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</si>
  <si>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</si>
  <si>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</si>
  <si>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</si>
  <si>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</si>
  <si>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</si>
  <si>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</si>
  <si>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</si>
  <si>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</si>
  <si>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</si>
  <si>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</si>
  <si>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</si>
  <si>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</si>
  <si>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</si>
  <si>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</si>
  <si>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</si>
  <si>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</si>
  <si>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</si>
  <si>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</si>
  <si>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</si>
  <si>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</si>
  <si>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</si>
  <si>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</si>
  <si>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</si>
  <si>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</si>
  <si>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</si>
  <si>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</si>
  <si>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</si>
  <si>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</si>
  <si>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</si>
  <si>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</si>
  <si>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</si>
  <si>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</si>
  <si>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</si>
  <si>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</si>
  <si>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</si>
  <si>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</si>
  <si>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</si>
  <si>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</si>
  <si>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</si>
  <si>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</si>
  <si>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</si>
  <si>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</si>
  <si>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</si>
  <si>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</si>
  <si>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</si>
  <si>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</si>
  <si>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</si>
  <si>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</si>
  <si>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</si>
  <si>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</si>
  <si>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</si>
  <si>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</si>
  <si>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</si>
  <si>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</si>
  <si>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</si>
  <si>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</si>
  <si>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</si>
  <si>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</si>
  <si>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</si>
  <si>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</si>
  <si>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</si>
  <si>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</si>
  <si>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</si>
  <si>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</si>
  <si>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</si>
  <si>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</si>
  <si>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</si>
  <si>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</si>
  <si>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</si>
  <si>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</si>
  <si>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</si>
  <si>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</si>
  <si>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</si>
  <si>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</si>
  <si>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</si>
  <si>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</si>
  <si>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</si>
  <si>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</si>
  <si>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</si>
  <si>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</si>
  <si>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</si>
  <si>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</si>
  <si>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</si>
  <si>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</si>
  <si>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</si>
  <si>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</si>
  <si>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</si>
  <si>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</si>
  <si>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</si>
  <si>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</si>
  <si>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</si>
  <si>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</si>
  <si>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</si>
  <si>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</si>
  <si>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</si>
  <si>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</si>
  <si>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</si>
  <si>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</si>
  <si>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</si>
  <si>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</si>
  <si>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</si>
  <si>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</si>
  <si>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</si>
  <si>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</si>
  <si>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</si>
  <si>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</si>
  <si>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</si>
  <si>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</si>
  <si>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</si>
  <si>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</si>
  <si>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</si>
  <si>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</si>
  <si>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</si>
  <si>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</si>
  <si>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</si>
  <si>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</si>
  <si>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</si>
  <si>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</si>
  <si>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</si>
  <si>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</si>
  <si>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</si>
  <si>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</si>
  <si>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</si>
  <si>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</si>
  <si>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</si>
  <si>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</si>
  <si>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</si>
  <si>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</si>
  <si>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</si>
  <si>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</si>
  <si>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</si>
  <si>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</si>
  <si>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</si>
  <si>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</si>
  <si>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</si>
  <si>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</si>
  <si>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</si>
  <si>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</si>
  <si>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</si>
  <si>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</si>
  <si>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</si>
  <si>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</si>
  <si>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</si>
  <si>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</si>
  <si>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</si>
  <si>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</si>
  <si>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</si>
  <si>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</si>
  <si>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</si>
  <si>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</si>
  <si>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</si>
  <si>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</si>
  <si>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</si>
  <si>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</si>
  <si>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</si>
  <si>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</si>
  <si>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</si>
  <si>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</si>
  <si>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</si>
  <si>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</si>
  <si>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</si>
  <si>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</si>
  <si>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</si>
  <si>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</si>
  <si>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</si>
  <si>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</si>
  <si>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</si>
  <si>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</si>
  <si>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</si>
  <si>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</si>
  <si>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</si>
  <si>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</si>
  <si>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</si>
  <si>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</si>
  <si>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</si>
  <si>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</si>
  <si>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</si>
  <si>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</si>
  <si>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</si>
  <si>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</si>
  <si>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</si>
  <si>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</si>
  <si>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</si>
  <si>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</si>
  <si>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</si>
  <si>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</si>
  <si>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</si>
  <si>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</si>
  <si>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</si>
  <si>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</si>
  <si>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</si>
  <si>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</si>
  <si>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</si>
  <si>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</si>
  <si>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</si>
  <si>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</si>
  <si>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</si>
  <si>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</si>
  <si>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</si>
  <si>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</si>
  <si>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</si>
  <si>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</si>
  <si>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</si>
  <si>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</si>
  <si>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</si>
  <si>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</si>
  <si>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</si>
  <si>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</si>
  <si>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</si>
  <si>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</si>
  <si>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</si>
  <si>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</si>
  <si>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</si>
  <si>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</si>
  <si>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</si>
  <si>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</si>
  <si>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</si>
  <si>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</si>
  <si>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</si>
  <si>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</si>
  <si>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</si>
  <si>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</si>
  <si>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</si>
  <si>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</si>
  <si>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</si>
  <si>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</si>
  <si>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</si>
  <si>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</si>
  <si>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</si>
  <si>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</si>
  <si>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</si>
  <si>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</si>
  <si>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</si>
  <si>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</si>
  <si>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</si>
  <si>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</si>
  <si>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</si>
  <si>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</si>
  <si>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</si>
  <si>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</si>
  <si>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</si>
  <si>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</si>
  <si>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</si>
  <si>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</si>
  <si>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</si>
  <si>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</si>
  <si>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</si>
  <si>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</si>
  <si>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</si>
  <si>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</si>
  <si>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</si>
  <si>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</si>
  <si>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</si>
  <si>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</si>
  <si>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</si>
  <si>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</si>
  <si>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</si>
  <si>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</si>
  <si>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</si>
  <si>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</si>
  <si>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</si>
  <si>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</si>
  <si>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</si>
  <si>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</si>
  <si>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</si>
  <si>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</si>
  <si>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</si>
  <si>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</si>
  <si>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</si>
  <si>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</si>
  <si>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</si>
  <si>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</si>
  <si>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</si>
  <si>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</si>
  <si>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</si>
  <si>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</si>
  <si>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</si>
  <si>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</si>
  <si>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</si>
  <si>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</si>
  <si>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</si>
  <si>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</si>
  <si>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</si>
  <si>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</si>
  <si>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</si>
  <si>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</si>
  <si>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</si>
  <si>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</si>
  <si>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</si>
  <si>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</si>
  <si>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</si>
  <si>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</si>
  <si>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</si>
  <si>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</si>
  <si>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</si>
  <si>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</si>
  <si>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</si>
  <si>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</si>
  <si>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</si>
  <si>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</si>
  <si>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</si>
  <si>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</si>
  <si>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</si>
  <si>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</si>
  <si>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</si>
  <si>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</si>
  <si>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</si>
  <si>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</si>
  <si>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</si>
  <si>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</si>
  <si>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</si>
  <si>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</si>
  <si>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</si>
  <si>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</si>
  <si>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</si>
  <si>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</si>
  <si>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</si>
  <si>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</si>
  <si>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</si>
  <si>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</si>
  <si>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</si>
  <si>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</si>
  <si>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</si>
  <si>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</si>
  <si>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</si>
  <si>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</si>
  <si>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</si>
  <si>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</si>
  <si>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</si>
  <si>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</si>
  <si>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</si>
  <si>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</si>
  <si>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</si>
  <si>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</si>
  <si>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</si>
  <si>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</si>
  <si>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</si>
  <si>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</si>
  <si>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</si>
  <si>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</si>
  <si>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</si>
  <si>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</si>
  <si>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</si>
  <si>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</si>
  <si>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</si>
  <si>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</si>
  <si>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</si>
  <si>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</si>
  <si>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</si>
  <si>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</si>
  <si>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</si>
  <si>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</si>
  <si>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</si>
  <si>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</si>
  <si>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</si>
  <si>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</si>
  <si>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</si>
  <si>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</si>
  <si>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</si>
  <si>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</si>
  <si>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</si>
  <si>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</si>
  <si>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</si>
  <si>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</si>
  <si>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</si>
  <si>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</si>
  <si>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</si>
  <si>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</si>
  <si>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</si>
  <si>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</si>
  <si>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</si>
  <si>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</si>
  <si>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</si>
  <si>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</si>
  <si>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</si>
  <si>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</si>
  <si>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</si>
  <si>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</si>
  <si>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</si>
  <si>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</si>
  <si>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</si>
  <si>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</si>
  <si>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</si>
  <si>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</si>
  <si>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</si>
  <si>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</si>
  <si>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</si>
  <si>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</si>
  <si>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</si>
  <si>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</si>
  <si>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</si>
  <si>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</si>
  <si>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</si>
  <si>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</si>
  <si>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</si>
  <si>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</si>
  <si>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</si>
  <si>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</si>
  <si>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</si>
  <si>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</si>
  <si>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</si>
  <si>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</si>
  <si>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</si>
  <si>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</si>
  <si>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</si>
  <si>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</si>
  <si>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</si>
  <si>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</si>
  <si>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</si>
  <si>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</si>
  <si>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</si>
  <si>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</si>
  <si>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</si>
  <si>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</si>
  <si>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</si>
  <si>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</si>
  <si>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</si>
  <si>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</si>
  <si>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</si>
  <si>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</si>
  <si>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</si>
  <si>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</si>
  <si>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</si>
  <si>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</si>
  <si>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</si>
  <si>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</si>
  <si>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</si>
  <si>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</si>
  <si>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</si>
  <si>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</si>
  <si>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</si>
  <si>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</si>
  <si>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</si>
  <si>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</si>
  <si>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</si>
  <si>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</si>
  <si>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</si>
  <si>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</si>
  <si>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</si>
  <si>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</si>
  <si>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</si>
  <si>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</si>
  <si>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</si>
  <si>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</si>
  <si>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</si>
  <si>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</si>
  <si>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</si>
  <si>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</si>
  <si>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</si>
  <si>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</si>
  <si>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</si>
  <si>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</si>
  <si>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</si>
  <si>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</si>
  <si>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</si>
  <si>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</si>
  <si>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</si>
  <si>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</si>
  <si>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</si>
  <si>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</si>
  <si>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</si>
  <si>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</si>
  <si>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</si>
  <si>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</si>
  <si>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</si>
  <si>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</si>
  <si>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</si>
  <si>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</si>
  <si>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</si>
  <si>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</si>
  <si>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</si>
  <si>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</si>
  <si>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</si>
  <si>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</si>
  <si>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</si>
  <si>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</si>
  <si>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</si>
  <si>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</si>
  <si>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</si>
  <si>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</si>
  <si>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</si>
  <si>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</si>
  <si>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</si>
  <si>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</si>
  <si>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</si>
  <si>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</si>
  <si>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</si>
  <si>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</si>
  <si>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</si>
  <si>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</si>
  <si>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</si>
  <si>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</si>
  <si>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</si>
  <si>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</si>
  <si>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</si>
  <si>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</si>
  <si>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</si>
  <si>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</si>
  <si>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</si>
  <si>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</si>
  <si>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</si>
  <si>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</si>
  <si>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</si>
  <si>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</si>
  <si>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</si>
  <si>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</si>
  <si>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</si>
  <si>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</si>
  <si>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</si>
  <si>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</si>
  <si>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</si>
  <si>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</si>
  <si>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</si>
  <si>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</si>
  <si>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</si>
  <si>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</si>
  <si>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</si>
  <si>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</si>
  <si>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</si>
  <si>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</si>
  <si>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</si>
  <si>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</si>
  <si>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</si>
  <si>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</si>
  <si>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</si>
  <si>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</si>
  <si>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</si>
  <si>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</si>
  <si>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</si>
  <si>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</si>
  <si>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</si>
  <si>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</si>
  <si>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</si>
  <si>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</si>
  <si>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</si>
  <si>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</si>
  <si>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</si>
  <si>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</si>
  <si>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</si>
  <si>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</si>
  <si>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</si>
  <si>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</si>
  <si>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</si>
  <si>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</si>
  <si>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</si>
  <si>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</si>
  <si>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</si>
  <si>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</si>
  <si>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</si>
  <si>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</si>
  <si>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</si>
  <si>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</si>
  <si>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</si>
  <si>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</si>
  <si>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</si>
  <si>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</si>
  <si>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</si>
  <si>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</si>
  <si>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</si>
  <si>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</si>
  <si>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</si>
  <si>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</si>
  <si>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</si>
  <si>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</si>
  <si>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</si>
  <si>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</si>
  <si>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</si>
  <si>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</si>
  <si>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</si>
  <si>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</si>
  <si>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</si>
  <si>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</si>
  <si>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</si>
  <si>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</si>
  <si>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</si>
  <si>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</si>
  <si>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</si>
  <si>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</si>
  <si>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</si>
  <si>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</si>
  <si>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</si>
  <si>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</si>
  <si>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</si>
  <si>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</si>
  <si>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</si>
  <si>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</si>
  <si>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</si>
  <si>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</si>
  <si>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</si>
  <si>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</si>
  <si>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</si>
  <si>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</si>
  <si>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</si>
  <si>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</si>
  <si>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</si>
  <si>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</si>
  <si>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</si>
  <si>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</si>
  <si>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</si>
  <si>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</si>
  <si>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</si>
  <si>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</si>
  <si>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</si>
  <si>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</si>
  <si>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</si>
  <si>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</si>
  <si>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</si>
  <si>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</si>
  <si>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</si>
  <si>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</si>
  <si>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</si>
  <si>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</si>
  <si>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</si>
  <si>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</si>
  <si>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</si>
  <si>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</si>
  <si>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</si>
  <si>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</si>
  <si>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</si>
  <si>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</si>
  <si>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</si>
  <si>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</si>
  <si>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</si>
  <si>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</si>
  <si>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</si>
  <si>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</si>
  <si>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</si>
  <si>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</si>
  <si>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</si>
  <si>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</si>
  <si>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</si>
  <si>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</si>
  <si>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</si>
  <si>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</si>
  <si>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</si>
  <si>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</si>
  <si>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</si>
  <si>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</si>
  <si>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</si>
  <si>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</si>
  <si>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</si>
  <si>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</si>
  <si>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</si>
  <si>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</si>
  <si>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</si>
  <si>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</si>
  <si>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</si>
  <si>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</si>
  <si>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</si>
  <si>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</si>
  <si>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</si>
  <si>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</si>
  <si>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</si>
  <si>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</si>
  <si>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</si>
  <si>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</si>
  <si>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</si>
  <si>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</si>
  <si>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</si>
  <si>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</si>
  <si>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</si>
  <si>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</si>
  <si>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</si>
  <si>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</si>
  <si>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</si>
  <si>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</si>
  <si>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</si>
  <si>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</si>
  <si>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</si>
  <si>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</si>
  <si>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</si>
  <si>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</si>
  <si>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</si>
  <si>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</si>
  <si>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</si>
  <si>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</si>
  <si>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</si>
  <si>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</si>
  <si>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</si>
  <si>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</si>
  <si>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</si>
  <si>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</si>
  <si>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</si>
  <si>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</si>
  <si>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</si>
  <si>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</si>
  <si>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</si>
  <si>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</si>
  <si>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</si>
  <si>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</si>
  <si>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</si>
  <si>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</si>
  <si>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</si>
  <si>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</si>
  <si>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</si>
  <si>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</si>
  <si>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</si>
  <si>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</si>
  <si>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</si>
  <si>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</si>
  <si>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</si>
  <si>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</si>
  <si>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</si>
  <si>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</si>
  <si>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</si>
  <si>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</si>
  <si>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</si>
  <si>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</si>
  <si>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</si>
  <si>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</si>
  <si>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</si>
  <si>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</si>
  <si>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</si>
  <si>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</si>
  <si>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</si>
  <si>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</si>
  <si>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</si>
  <si>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</si>
  <si>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</si>
  <si>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</si>
  <si>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</si>
  <si>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</si>
  <si>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</si>
  <si>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</si>
  <si>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</si>
  <si>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</si>
  <si>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</si>
  <si>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</si>
  <si>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</si>
  <si>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</si>
  <si>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</si>
  <si>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</si>
  <si>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</si>
  <si>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</si>
  <si>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</si>
  <si>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</si>
  <si>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</si>
  <si>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</si>
  <si>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</si>
  <si>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</si>
  <si>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</si>
  <si>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</si>
  <si>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</si>
  <si>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</si>
  <si>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</si>
  <si>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</si>
  <si>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</si>
  <si>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</si>
  <si>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</si>
  <si>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</si>
  <si>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</si>
  <si>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</si>
  <si>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</si>
  <si>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</si>
  <si>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</si>
  <si>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</si>
  <si>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</si>
  <si>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</si>
  <si>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</si>
  <si>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</si>
  <si>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</si>
  <si>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</si>
  <si>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</si>
  <si>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</si>
  <si>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</si>
  <si>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</si>
  <si>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</si>
  <si>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</si>
  <si>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</si>
  <si>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</si>
  <si>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</si>
  <si>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</si>
  <si>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</si>
  <si>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</si>
  <si>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</si>
  <si>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</si>
  <si>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</si>
  <si>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</si>
  <si>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</si>
  <si>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</si>
  <si>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</si>
  <si>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</si>
  <si>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</si>
  <si>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</si>
  <si>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</si>
  <si>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</si>
  <si>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</si>
  <si>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</si>
  <si>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</si>
  <si>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</si>
  <si>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</si>
  <si>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</si>
  <si>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</si>
  <si>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</si>
  <si>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</si>
  <si>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</si>
  <si>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</si>
  <si>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</si>
  <si>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</si>
  <si>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</si>
  <si>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</si>
  <si>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</si>
  <si>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</si>
  <si>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</si>
  <si>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</si>
  <si>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</si>
  <si>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</si>
  <si>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</si>
  <si>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</si>
  <si>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</si>
  <si>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</si>
  <si>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</si>
  <si>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</si>
  <si>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</si>
  <si>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</si>
  <si>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</si>
  <si>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</si>
  <si>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</si>
  <si>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</si>
  <si>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</si>
  <si>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</si>
  <si>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</si>
  <si>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</si>
  <si>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</si>
  <si>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</si>
  <si>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</si>
  <si>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</si>
  <si>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</si>
  <si>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</si>
  <si>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</si>
  <si>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</si>
  <si>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</si>
  <si>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</si>
  <si>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</si>
  <si>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</si>
  <si>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</si>
  <si>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</si>
  <si>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</si>
  <si>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</si>
  <si>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</si>
  <si>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</si>
  <si>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</si>
  <si>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</si>
  <si>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</si>
  <si>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</si>
  <si>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</si>
  <si>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</si>
  <si>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</si>
  <si>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</si>
  <si>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</si>
  <si>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</si>
  <si>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</si>
  <si>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</si>
  <si>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</si>
  <si>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</si>
  <si>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</si>
  <si>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</si>
  <si>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</si>
  <si>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</si>
  <si>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</si>
  <si>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</si>
  <si>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</si>
  <si>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</si>
  <si>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</si>
  <si>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</si>
  <si>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</si>
  <si>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</si>
  <si>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</si>
  <si>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</si>
  <si>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</si>
  <si>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</si>
  <si>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</si>
  <si>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</si>
  <si>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</si>
  <si>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</si>
  <si>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</si>
  <si>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</si>
  <si>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</si>
  <si>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</si>
  <si>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</si>
  <si>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</si>
  <si>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</si>
  <si>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</si>
  <si>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</si>
  <si>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</si>
  <si>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</si>
  <si>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</si>
  <si>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</si>
  <si>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</si>
  <si>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</si>
  <si>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</si>
  <si>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</si>
  <si>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</si>
  <si>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</si>
  <si>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</si>
  <si>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</si>
  <si>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</si>
  <si>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</si>
  <si>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</si>
  <si>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</si>
  <si>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</si>
  <si>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</si>
  <si>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</si>
  <si>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</si>
  <si>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</si>
  <si>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</si>
  <si>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</si>
  <si>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</si>
  <si>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</si>
  <si>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</si>
  <si>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</si>
  <si>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</si>
  <si>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</si>
  <si>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</si>
  <si>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</si>
  <si>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</si>
  <si>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</si>
  <si>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</si>
  <si>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</si>
  <si>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</si>
  <si>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</si>
  <si>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</si>
  <si>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</si>
  <si>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</si>
  <si>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</si>
  <si>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</si>
  <si>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</si>
  <si>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</si>
  <si>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</si>
  <si>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</si>
  <si>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</si>
  <si>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</si>
  <si>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</si>
  <si>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</si>
  <si>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</si>
  <si>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</si>
  <si>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</si>
  <si>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</si>
  <si>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</si>
  <si>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</si>
  <si>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</si>
  <si>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</si>
  <si>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</si>
  <si>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</si>
  <si>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</si>
  <si>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</si>
  <si>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</si>
  <si>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</si>
  <si>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</si>
  <si>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</si>
  <si>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</si>
  <si>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</si>
  <si>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</si>
  <si>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</si>
  <si>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</si>
  <si>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</si>
  <si>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</si>
  <si>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</si>
  <si>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</si>
  <si>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</si>
  <si>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</si>
  <si>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</si>
  <si>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</si>
  <si>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</si>
  <si>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</si>
  <si>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</si>
  <si>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</si>
  <si>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</si>
  <si>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</si>
  <si>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</si>
  <si>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</si>
  <si>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</si>
  <si>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</si>
  <si>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</si>
  <si>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</si>
  <si>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</si>
  <si>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</si>
  <si>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</si>
  <si>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</si>
  <si>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</si>
  <si>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</si>
  <si>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</si>
  <si>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</si>
  <si>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</si>
  <si>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</si>
  <si>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</si>
  <si>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</si>
  <si>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</si>
  <si>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</si>
  <si>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</si>
  <si>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</si>
  <si>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</si>
  <si>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</si>
  <si>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</si>
  <si>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</si>
  <si>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</si>
  <si>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</si>
  <si>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</si>
  <si>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</si>
  <si>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</si>
  <si>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</si>
  <si>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</si>
  <si>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</si>
  <si>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</si>
  <si>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</si>
  <si>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</si>
  <si>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</si>
  <si>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</si>
  <si>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</si>
  <si>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</si>
  <si>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</si>
  <si>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</si>
  <si>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</si>
  <si>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</si>
  <si>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</si>
  <si>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</si>
  <si>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</si>
  <si>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</si>
  <si>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</si>
  <si>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</si>
  <si>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</si>
  <si>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</si>
  <si>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</si>
  <si>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</si>
  <si>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</si>
  <si>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</si>
  <si>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</si>
  <si>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</si>
  <si>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</si>
  <si>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</si>
  <si>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</si>
  <si>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</si>
  <si>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</si>
  <si>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</si>
  <si>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</si>
  <si>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</si>
  <si>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</si>
  <si>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</si>
  <si>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</si>
  <si>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</si>
  <si>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</si>
  <si>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</si>
  <si>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</si>
  <si>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</si>
  <si>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</si>
  <si>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</si>
  <si>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</si>
  <si>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</si>
  <si>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</si>
  <si>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</si>
  <si>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</si>
  <si>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</si>
  <si>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</si>
  <si>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</si>
  <si>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</si>
  <si>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</si>
  <si>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</si>
  <si>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</si>
  <si>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</si>
  <si>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</si>
  <si>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</si>
  <si>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</si>
  <si>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</si>
  <si>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</si>
  <si>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</si>
  <si>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</si>
  <si>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</si>
  <si>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</si>
  <si>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</si>
  <si>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</si>
  <si>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</si>
  <si>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</si>
  <si>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</si>
  <si>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</si>
  <si>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</si>
  <si>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</si>
  <si>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</si>
  <si>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</si>
  <si>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</si>
  <si>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</si>
  <si>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</si>
  <si>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</si>
  <si>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</si>
  <si>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</si>
  <si>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</si>
  <si>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</si>
  <si>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</si>
  <si>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</si>
  <si>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</si>
  <si>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</si>
  <si>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</si>
  <si>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</si>
  <si>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</si>
  <si>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</si>
  <si>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</si>
  <si>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</si>
  <si>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</si>
  <si>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</si>
  <si>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</si>
  <si>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</si>
  <si>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</si>
  <si>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</si>
  <si>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</si>
  <si>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</si>
  <si>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</si>
  <si>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</si>
  <si>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</si>
  <si>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</si>
  <si>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</si>
  <si>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</si>
  <si>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</si>
  <si>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</si>
  <si>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</si>
  <si>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</si>
  <si>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</si>
  <si>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</si>
  <si>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</si>
  <si>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</si>
  <si>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</si>
  <si>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</si>
  <si>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</si>
  <si>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</si>
  <si>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</si>
  <si>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</si>
  <si>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</si>
  <si>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</si>
  <si>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</si>
  <si>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</si>
  <si>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</si>
  <si>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</si>
  <si>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</si>
  <si>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</si>
  <si>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</si>
  <si>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</si>
  <si>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</si>
  <si>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</si>
  <si>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</si>
  <si>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</si>
  <si>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</si>
  <si>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</si>
  <si>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</si>
  <si>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</si>
  <si>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</si>
  <si>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</si>
  <si>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</si>
  <si>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</si>
  <si>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</si>
  <si>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</si>
  <si>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</si>
  <si>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</si>
  <si>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</si>
  <si>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</si>
  <si>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</si>
  <si>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</si>
  <si>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</si>
  <si>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</si>
  <si>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</si>
  <si>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</si>
  <si>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</si>
  <si>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</si>
  <si>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</si>
  <si>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</si>
  <si>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</si>
  <si>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</si>
  <si>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</si>
  <si>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</si>
  <si>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</si>
  <si>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</si>
  <si>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</si>
  <si>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</si>
  <si>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</si>
  <si>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</si>
  <si>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</si>
  <si>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</si>
  <si>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</si>
  <si>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</si>
  <si>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</si>
  <si>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</si>
  <si>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</si>
  <si>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</si>
  <si>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</si>
  <si>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</si>
  <si>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</si>
  <si>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</si>
  <si>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</si>
  <si>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</si>
  <si>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</si>
  <si>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</si>
  <si>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</si>
  <si>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</si>
  <si>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</si>
  <si>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</si>
  <si>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</si>
  <si>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</si>
  <si>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</si>
  <si>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</si>
  <si>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</si>
  <si>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</si>
  <si>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</si>
  <si>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</si>
  <si>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</si>
  <si>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</si>
  <si>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</si>
  <si>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</si>
  <si>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</si>
  <si>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</si>
  <si>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</si>
  <si>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</si>
  <si>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</si>
  <si>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</si>
  <si>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</si>
  <si>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</si>
  <si>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</si>
  <si>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</si>
  <si>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</si>
  <si>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</si>
  <si>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</si>
  <si>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</si>
  <si>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</si>
  <si>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</si>
  <si>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</si>
  <si>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</si>
  <si>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</si>
  <si>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</si>
  <si>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</si>
  <si>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</si>
  <si>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</si>
  <si>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</si>
  <si>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</si>
  <si>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</si>
  <si>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</si>
  <si>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</si>
  <si>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</si>
  <si>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</si>
  <si>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</si>
  <si>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</si>
  <si>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</si>
  <si>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</si>
  <si>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</si>
  <si>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</si>
  <si>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</si>
  <si>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</si>
  <si>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</si>
  <si>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</si>
  <si>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</si>
  <si>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</si>
  <si>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</si>
  <si>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</si>
  <si>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</si>
  <si>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</si>
  <si>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</si>
  <si>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</si>
  <si>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</si>
  <si>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</si>
  <si>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</si>
  <si>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</si>
  <si>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</si>
  <si>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</si>
  <si>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</si>
  <si>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</si>
  <si>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</si>
  <si>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</si>
  <si>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</si>
  <si>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</si>
  <si>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</si>
  <si>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</si>
  <si>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</si>
  <si>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</si>
  <si>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</si>
  <si>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</si>
  <si>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</si>
  <si>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</si>
  <si>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</si>
  <si>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</si>
  <si>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</si>
  <si>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</si>
  <si>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</si>
  <si>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</si>
  <si>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</si>
  <si>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</si>
  <si>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</si>
  <si>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</si>
  <si>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</si>
  <si>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</si>
  <si>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</si>
  <si>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</si>
  <si>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</si>
  <si>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</si>
  <si>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</si>
  <si>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</si>
  <si>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</si>
  <si>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</si>
  <si>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</si>
  <si>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</si>
  <si>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</si>
  <si>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</si>
  <si>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</si>
  <si>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</si>
  <si>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</si>
  <si>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</si>
  <si>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</si>
  <si>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</si>
  <si>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</si>
  <si>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</si>
  <si>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</si>
  <si>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</si>
  <si>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</si>
  <si>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</si>
  <si>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</si>
  <si>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</si>
  <si>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</si>
  <si>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</si>
  <si>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</si>
  <si>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</si>
  <si>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</si>
  <si>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</si>
  <si>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</si>
  <si>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</si>
  <si>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</si>
  <si>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</si>
  <si>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</si>
  <si>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</si>
  <si>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</si>
  <si>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</si>
  <si>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</si>
  <si>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</si>
  <si>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</si>
  <si>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</si>
  <si>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</si>
  <si>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</si>
  <si>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</si>
  <si>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</si>
  <si>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</si>
  <si>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</si>
  <si>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</si>
  <si>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</si>
  <si>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</si>
  <si>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</si>
  <si>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</si>
  <si>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</si>
  <si>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</si>
  <si>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</si>
  <si>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</si>
  <si>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</si>
  <si>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</si>
  <si>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</si>
  <si>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</si>
  <si>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</si>
  <si>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</si>
  <si>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</si>
  <si>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</si>
  <si>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</si>
  <si>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</si>
  <si>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</si>
  <si>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</si>
  <si>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</si>
  <si>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</si>
  <si>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</si>
  <si>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</si>
  <si>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</si>
  <si>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</si>
  <si>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</si>
  <si>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</si>
  <si>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</si>
  <si>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</si>
  <si>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</si>
  <si>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</si>
  <si>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</si>
  <si>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</si>
  <si>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</si>
  <si>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</si>
  <si>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</si>
  <si>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</si>
  <si>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</si>
  <si>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</si>
  <si>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</si>
  <si>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</si>
  <si>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</si>
  <si>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</si>
  <si>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</si>
  <si>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</si>
  <si>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</si>
  <si>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</si>
  <si>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</si>
  <si>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</si>
  <si>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</si>
  <si>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</si>
  <si>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</si>
  <si>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</si>
  <si>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</si>
  <si>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</si>
  <si>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</si>
  <si>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</si>
  <si>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</si>
  <si>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</si>
  <si>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</si>
  <si>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</si>
  <si>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</si>
  <si>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</si>
  <si>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</si>
  <si>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</si>
  <si>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</si>
  <si>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</si>
  <si>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</si>
  <si>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</si>
  <si>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</si>
  <si>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</si>
  <si>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</si>
  <si>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</si>
  <si>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</si>
  <si>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</si>
  <si>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</si>
  <si>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</si>
  <si>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</si>
  <si>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</si>
  <si>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</si>
  <si>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</si>
  <si>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</si>
  <si>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</si>
  <si>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</si>
  <si>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</si>
  <si>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</si>
  <si>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</si>
  <si>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</si>
  <si>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</si>
  <si>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</si>
  <si>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</si>
  <si>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</si>
  <si>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</si>
  <si>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</si>
  <si>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</si>
  <si>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</si>
  <si>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</si>
  <si>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</si>
  <si>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</si>
  <si>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</si>
  <si>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</si>
  <si>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</si>
  <si>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</si>
  <si>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</si>
  <si>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</si>
  <si>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</si>
  <si>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</si>
  <si>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</si>
  <si>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</si>
  <si>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</si>
  <si>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</si>
  <si>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</si>
  <si>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</si>
  <si>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</si>
  <si>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</si>
  <si>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</si>
  <si>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</si>
  <si>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</si>
  <si>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</si>
  <si>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</si>
  <si>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</si>
  <si>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</si>
  <si>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</si>
  <si>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</si>
  <si>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</si>
  <si>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</si>
  <si>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</si>
  <si>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</si>
  <si>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</si>
  <si>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</si>
  <si>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</si>
  <si>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</si>
  <si>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</si>
  <si>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</si>
  <si>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</si>
  <si>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</si>
  <si>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</si>
  <si>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</si>
  <si>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</si>
  <si>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</si>
  <si>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</si>
  <si>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</si>
  <si>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</si>
  <si>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</si>
  <si>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</si>
  <si>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</si>
  <si>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</si>
  <si>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</si>
  <si>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</si>
  <si>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</si>
  <si>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</si>
  <si>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</si>
  <si>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</si>
  <si>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</si>
  <si>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</si>
  <si>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</si>
  <si>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</si>
  <si>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</si>
  <si>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</si>
  <si>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</si>
  <si>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</si>
  <si>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</si>
  <si>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</si>
  <si>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</si>
  <si>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</si>
  <si>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</si>
  <si>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</si>
  <si>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</si>
  <si>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</si>
  <si>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</si>
  <si>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</si>
  <si>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</si>
  <si>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</si>
  <si>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</si>
  <si>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</si>
  <si>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</si>
  <si>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</si>
  <si>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</si>
  <si>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</si>
  <si>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</si>
  <si>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</si>
  <si>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</si>
  <si>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</si>
  <si>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</si>
  <si>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</si>
  <si>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</si>
  <si>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</si>
  <si>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</si>
  <si>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</si>
  <si>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</si>
  <si>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</si>
  <si>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</si>
  <si>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</si>
  <si>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</si>
  <si>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</si>
  <si>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</si>
  <si>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</si>
  <si>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</si>
  <si>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</si>
  <si>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</si>
  <si>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</si>
  <si>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</si>
  <si>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</si>
  <si>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</si>
  <si>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</si>
  <si>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</si>
  <si>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</si>
  <si>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</si>
  <si>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</si>
  <si>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</si>
  <si>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</si>
  <si>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</si>
  <si>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</si>
  <si>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</si>
  <si>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</si>
  <si>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</si>
  <si>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</si>
  <si>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</si>
  <si>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</si>
  <si>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</si>
  <si>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</si>
  <si>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</si>
  <si>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</si>
  <si>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</si>
  <si>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</si>
  <si>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</si>
  <si>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</si>
  <si>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</si>
  <si>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</si>
  <si>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</si>
  <si>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</si>
  <si>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</si>
  <si>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</si>
  <si>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</si>
  <si>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</si>
  <si>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</si>
  <si>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</si>
  <si>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</si>
  <si>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</si>
  <si>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</si>
  <si>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</si>
  <si>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</si>
  <si>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</si>
  <si>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</si>
  <si>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</si>
  <si>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</si>
  <si>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</si>
  <si>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</si>
  <si>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</si>
  <si>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</si>
  <si>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</si>
  <si>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</si>
  <si>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</si>
  <si>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</si>
  <si>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</si>
  <si>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</si>
  <si>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</si>
  <si>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</si>
  <si>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</si>
  <si>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</si>
  <si>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</si>
  <si>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</si>
  <si>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</si>
  <si>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</si>
  <si>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</si>
  <si>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</si>
  <si>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</si>
  <si>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</si>
  <si>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</si>
  <si>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</si>
  <si>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</si>
  <si>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</si>
  <si>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</si>
  <si>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</si>
  <si>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</si>
  <si>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</si>
  <si>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</si>
  <si>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</si>
  <si>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</si>
  <si>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</si>
  <si>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</si>
  <si>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</si>
  <si>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</si>
  <si>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</si>
  <si>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</si>
  <si>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</si>
  <si>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</si>
  <si>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</si>
  <si>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</si>
  <si>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</si>
  <si>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</si>
  <si>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</si>
  <si>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</si>
  <si>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</si>
  <si>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</si>
  <si>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</si>
  <si>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</si>
  <si>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</si>
  <si>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</si>
  <si>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</si>
  <si>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</si>
  <si>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</si>
  <si>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</si>
  <si>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</si>
  <si>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</si>
  <si>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</si>
  <si>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</si>
  <si>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</si>
  <si>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</si>
  <si>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</si>
  <si>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</si>
  <si>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</si>
  <si>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</si>
  <si>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</si>
  <si>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</si>
  <si>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</si>
  <si>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</si>
  <si>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</si>
  <si>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</si>
  <si>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</si>
  <si>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</si>
  <si>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</si>
  <si>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</si>
  <si>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</si>
  <si>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</si>
  <si>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</si>
  <si>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</si>
  <si>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</si>
  <si>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</si>
  <si>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</si>
  <si>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</si>
  <si>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</si>
  <si>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</si>
  <si>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</si>
  <si>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</si>
  <si>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</si>
  <si>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</si>
  <si>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</si>
  <si>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</si>
  <si>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</si>
  <si>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</si>
  <si>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</si>
  <si>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</si>
  <si>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</si>
  <si>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</si>
  <si>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</si>
  <si>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</si>
  <si>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</si>
  <si>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</si>
  <si>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</si>
  <si>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</si>
  <si>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</si>
  <si>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</si>
  <si>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</si>
  <si>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</si>
  <si>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</si>
  <si>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</si>
  <si>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</si>
  <si>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</si>
  <si>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</si>
  <si>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</si>
  <si>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</si>
  <si>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</si>
  <si>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</si>
  <si>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</si>
  <si>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</si>
  <si>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</si>
  <si>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</si>
  <si>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</si>
  <si>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</si>
  <si>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</si>
  <si>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</si>
  <si>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</si>
  <si>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</si>
  <si>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</si>
  <si>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</si>
  <si>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</si>
  <si>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</si>
  <si>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</si>
  <si>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</si>
  <si>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</si>
  <si>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</si>
  <si>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</si>
  <si>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</si>
  <si>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</si>
  <si>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</si>
  <si>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</si>
  <si>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</si>
  <si>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</si>
  <si>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</si>
  <si>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</si>
  <si>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</si>
  <si>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</si>
  <si>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</si>
  <si>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</si>
  <si>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</si>
  <si>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</si>
  <si>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</si>
  <si>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</si>
  <si>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</si>
  <si>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</si>
  <si>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</si>
  <si>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</si>
  <si>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</si>
  <si>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</si>
  <si>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</si>
  <si>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</si>
  <si>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</si>
  <si>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</si>
  <si>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</si>
  <si>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</si>
  <si>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</si>
  <si>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</si>
  <si>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</si>
  <si>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</si>
  <si>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</si>
  <si>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</si>
  <si>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</si>
  <si>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</si>
  <si>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</si>
  <si>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</si>
  <si>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</si>
  <si>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</si>
  <si>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</si>
  <si>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</si>
  <si>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</si>
  <si>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</si>
  <si>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</si>
  <si>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</si>
  <si>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</si>
  <si>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</si>
  <si>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</si>
  <si>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</si>
  <si>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</si>
  <si>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</si>
  <si>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</si>
  <si>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</si>
  <si>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</si>
  <si>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</si>
  <si>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</si>
  <si>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</si>
  <si>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</si>
  <si>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</si>
  <si>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</si>
  <si>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</si>
  <si>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</si>
  <si>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</si>
  <si>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</si>
  <si>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</si>
  <si>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</si>
  <si>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</si>
  <si>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</si>
  <si>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</si>
  <si>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</si>
  <si>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</si>
  <si>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</si>
  <si>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</si>
  <si>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</si>
  <si>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</si>
  <si>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</si>
  <si>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</si>
  <si>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</si>
  <si>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</si>
  <si>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</si>
  <si>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</si>
  <si>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</si>
  <si>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</si>
  <si>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</si>
  <si>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</si>
  <si>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</si>
  <si>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</si>
  <si>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</si>
  <si>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</si>
  <si>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</si>
  <si>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</si>
  <si>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</si>
  <si>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</si>
  <si>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</si>
  <si>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</si>
  <si>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</si>
  <si>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</si>
  <si>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</si>
  <si>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</si>
  <si>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</si>
  <si>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</si>
  <si>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</si>
  <si>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</si>
  <si>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</si>
  <si>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</si>
  <si>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</si>
  <si>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</si>
  <si>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</si>
  <si>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</si>
  <si>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</si>
  <si>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</si>
  <si>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</si>
  <si>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</si>
  <si>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</si>
  <si>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</si>
  <si>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</si>
  <si>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</si>
  <si>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</si>
  <si>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</si>
  <si>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</si>
  <si>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</si>
  <si>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</si>
  <si>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</si>
  <si>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</si>
  <si>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</si>
  <si>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</si>
  <si>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</si>
  <si>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</si>
  <si>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</si>
  <si>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</si>
  <si>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</si>
  <si>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</si>
  <si>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</si>
  <si>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</si>
  <si>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</si>
  <si>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</si>
  <si>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</si>
  <si>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</si>
  <si>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</si>
  <si>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</si>
  <si>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</si>
  <si>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</si>
  <si>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</si>
  <si>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</si>
  <si>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</si>
  <si>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</si>
  <si>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</si>
  <si>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</si>
  <si>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</si>
  <si>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</si>
  <si>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</si>
  <si>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</si>
  <si>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</si>
  <si>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</si>
  <si>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</si>
  <si>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</si>
  <si>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</si>
  <si>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</si>
  <si>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</si>
  <si>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</si>
  <si>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</si>
  <si>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</si>
  <si>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</si>
  <si>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</si>
  <si>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</si>
  <si>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</si>
  <si>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</si>
  <si>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</si>
  <si>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</si>
  <si>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</si>
  <si>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</si>
  <si>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</si>
  <si>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</si>
  <si>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</si>
  <si>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</si>
  <si>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</si>
  <si>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</si>
  <si>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</si>
  <si>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</si>
  <si>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</si>
  <si>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</si>
  <si>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</si>
  <si>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</si>
  <si>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</si>
  <si>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</si>
  <si>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</si>
  <si>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</si>
  <si>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</si>
  <si>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</si>
  <si>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</si>
  <si>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</si>
  <si>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</si>
  <si>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</si>
  <si>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</si>
  <si>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</si>
  <si>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</si>
  <si>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</si>
  <si>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</si>
  <si>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</si>
  <si>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</si>
  <si>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</si>
  <si>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</si>
  <si>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</si>
  <si>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</si>
  <si>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</si>
  <si>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</si>
  <si>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</si>
  <si>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</si>
  <si>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</si>
  <si>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</si>
  <si>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</si>
  <si>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</si>
  <si>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</si>
  <si>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</si>
  <si>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</si>
  <si>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</si>
  <si>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</si>
  <si>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</si>
  <si>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</si>
  <si>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</si>
  <si>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</si>
  <si>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</si>
  <si>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</si>
  <si>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</si>
  <si>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</si>
  <si>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</si>
  <si>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</si>
  <si>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</si>
  <si>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</si>
  <si>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</si>
  <si>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</si>
  <si>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</si>
  <si>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</si>
  <si>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</si>
  <si>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</si>
  <si>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</si>
  <si>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</si>
  <si>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</si>
  <si>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</si>
  <si>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</si>
  <si>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</si>
  <si>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</si>
  <si>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</si>
  <si>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</si>
  <si>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</si>
  <si>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</si>
  <si>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</si>
  <si>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</si>
  <si>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</si>
  <si>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</si>
  <si>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</si>
  <si>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</si>
  <si>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</si>
  <si>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</si>
  <si>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</si>
  <si>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</si>
  <si>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</si>
  <si>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</si>
  <si>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</si>
  <si>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</si>
  <si>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</si>
  <si>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</si>
  <si>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</si>
  <si>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</si>
  <si>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</si>
  <si>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</si>
  <si>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</si>
  <si>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</si>
  <si>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</si>
  <si>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</si>
  <si>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</si>
  <si>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</si>
  <si>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</si>
  <si>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</si>
  <si>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</si>
  <si>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</si>
  <si>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</si>
  <si>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</si>
  <si>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</si>
  <si>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</si>
  <si>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</si>
  <si>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</si>
  <si>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</si>
  <si>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</si>
  <si>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</si>
  <si>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</si>
  <si>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</si>
  <si>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</si>
  <si>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</si>
  <si>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</si>
  <si>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</si>
  <si>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</si>
  <si>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</si>
  <si>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</si>
  <si>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</si>
  <si>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</si>
  <si>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</si>
  <si>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</si>
  <si>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</si>
  <si>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</si>
  <si>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</si>
  <si>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</si>
  <si>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</si>
  <si>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</si>
  <si>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</si>
  <si>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</si>
  <si>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</si>
  <si>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</si>
  <si>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</si>
  <si>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</si>
  <si>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</si>
  <si>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</si>
  <si>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</si>
  <si>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</si>
  <si>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</si>
  <si>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</si>
  <si>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</si>
  <si>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</si>
  <si>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</si>
  <si>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</si>
  <si>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</si>
  <si>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</si>
  <si>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</si>
  <si>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</si>
  <si>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</si>
  <si>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</si>
  <si>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</si>
  <si>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</si>
  <si>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</si>
  <si>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</si>
  <si>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</si>
  <si>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</si>
  <si>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</si>
  <si>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</si>
  <si>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</si>
  <si>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</si>
  <si>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</si>
  <si>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</si>
  <si>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</si>
  <si>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</si>
  <si>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</si>
  <si>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</si>
  <si>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</si>
  <si>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</si>
  <si>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</si>
  <si>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</si>
  <si>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</si>
  <si>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</si>
  <si>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</si>
  <si>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</si>
  <si>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</si>
  <si>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</si>
  <si>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</si>
  <si>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</si>
  <si>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</si>
  <si>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</si>
  <si>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</si>
  <si>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</si>
  <si>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</si>
  <si>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</si>
  <si>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</si>
  <si>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</si>
  <si>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</si>
  <si>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</si>
  <si>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</si>
  <si>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</si>
  <si>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</si>
  <si>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</si>
  <si>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</si>
  <si>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</si>
  <si>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</si>
  <si>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</si>
  <si>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</si>
  <si>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</si>
  <si>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</si>
  <si>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</si>
  <si>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</si>
  <si>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</si>
  <si>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</si>
  <si>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</si>
  <si>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</si>
  <si>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</si>
  <si>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</si>
  <si>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</si>
  <si>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</si>
  <si>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</si>
  <si>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</si>
  <si>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</si>
  <si>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</si>
  <si>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</si>
  <si>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</si>
  <si>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</si>
  <si>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</si>
  <si>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</si>
  <si>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</si>
  <si>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</si>
  <si>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</si>
  <si>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</si>
  <si>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</si>
  <si>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</si>
  <si>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</si>
  <si>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</si>
  <si>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</si>
  <si>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</si>
  <si>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</si>
  <si>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</si>
  <si>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</si>
  <si>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</si>
  <si>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</si>
  <si>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</si>
  <si>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</si>
  <si>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</si>
  <si>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</si>
  <si>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</si>
  <si>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</si>
  <si>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</si>
  <si>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</si>
  <si>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</si>
  <si>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</si>
  <si>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</si>
  <si>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</si>
  <si>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</si>
  <si>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</si>
  <si>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</si>
  <si>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</si>
  <si>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</si>
  <si>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</si>
  <si>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</si>
  <si>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</si>
  <si>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</si>
  <si>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</si>
  <si>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</si>
  <si>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</si>
  <si>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</si>
  <si>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</si>
  <si>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</si>
  <si>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</si>
  <si>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</si>
  <si>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</si>
  <si>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</si>
  <si>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</si>
  <si>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</si>
  <si>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</si>
  <si>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</si>
  <si>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</si>
  <si>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</si>
  <si>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</si>
  <si>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</si>
  <si>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</si>
  <si>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</si>
  <si>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</si>
  <si>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</si>
  <si>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</si>
  <si>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</si>
  <si>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</si>
  <si>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</si>
  <si>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</si>
  <si>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</si>
  <si>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</si>
  <si>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</si>
  <si>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</si>
  <si>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</si>
  <si>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</si>
  <si>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</si>
  <si>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</si>
  <si>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</si>
  <si>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</si>
  <si>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</si>
  <si>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</si>
  <si>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</si>
  <si>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</si>
  <si>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</si>
  <si>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</si>
  <si>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</si>
  <si>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</si>
  <si>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</si>
  <si>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</si>
  <si>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</si>
  <si>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</si>
  <si>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</si>
  <si>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</si>
  <si>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</si>
  <si>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</si>
  <si>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</si>
  <si>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</si>
  <si>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</si>
  <si>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</si>
  <si>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</si>
  <si>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</si>
  <si>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</si>
  <si>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</si>
  <si>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</si>
  <si>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</si>
  <si>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</si>
  <si>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</si>
  <si>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</si>
  <si>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</si>
  <si>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</si>
  <si>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</si>
  <si>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</si>
  <si>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</si>
  <si>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</si>
  <si>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</si>
  <si>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</si>
  <si>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</si>
  <si>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</si>
  <si>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</si>
  <si>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</si>
  <si>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</si>
  <si>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</si>
  <si>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</si>
  <si>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</si>
  <si>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</si>
  <si>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</si>
  <si>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</si>
  <si>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</si>
  <si>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</si>
  <si>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</si>
  <si>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</si>
  <si>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</si>
  <si>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</si>
  <si>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</si>
  <si>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</si>
  <si>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</si>
  <si>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</si>
  <si>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</si>
  <si>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</si>
  <si>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</si>
  <si>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</si>
  <si>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</si>
  <si>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</si>
  <si>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</si>
  <si>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</si>
  <si>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</si>
  <si>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</si>
  <si>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</si>
  <si>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</si>
  <si>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</si>
  <si>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</si>
  <si>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</si>
  <si>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</si>
  <si>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</si>
  <si>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</si>
  <si>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</si>
  <si>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</si>
  <si>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</si>
  <si>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</si>
  <si>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</si>
  <si>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</si>
  <si>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</si>
  <si>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</si>
  <si>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</si>
  <si>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</si>
  <si>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</si>
  <si>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</si>
  <si>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</si>
  <si>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</si>
  <si>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</si>
  <si>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</si>
  <si>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</si>
  <si>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</si>
  <si>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</si>
  <si>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</si>
  <si>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</si>
  <si>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</si>
  <si>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</si>
  <si>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</si>
  <si>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</si>
  <si>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</si>
  <si>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</si>
  <si>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</si>
  <si>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</si>
  <si>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</si>
  <si>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</si>
  <si>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</si>
  <si>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</si>
  <si>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</si>
  <si>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</si>
  <si>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</si>
  <si>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</si>
  <si>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</si>
  <si>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</si>
  <si>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</si>
  <si>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</si>
  <si>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</si>
  <si>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</si>
  <si>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</si>
  <si>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</si>
  <si>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</si>
  <si>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</si>
  <si>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</si>
  <si>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</si>
  <si>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</si>
  <si>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</si>
  <si>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</si>
  <si>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</si>
  <si>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</si>
  <si>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</si>
  <si>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</si>
  <si>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</si>
  <si>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</si>
  <si>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</si>
  <si>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</si>
  <si>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</si>
  <si>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</si>
  <si>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</si>
  <si>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</si>
  <si>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</si>
  <si>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</si>
  <si>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</si>
  <si>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</si>
  <si>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</si>
  <si>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</si>
  <si>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</si>
  <si>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</si>
  <si>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</si>
  <si>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</si>
  <si>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</si>
  <si>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</si>
  <si>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</si>
  <si>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</si>
  <si>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</si>
  <si>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</si>
  <si>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</si>
  <si>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</si>
  <si>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</si>
  <si>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</si>
  <si>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</si>
  <si>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</si>
  <si>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</si>
  <si>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</si>
  <si>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</si>
  <si>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</si>
  <si>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</si>
  <si>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</si>
  <si>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</si>
  <si>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</si>
  <si>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</si>
  <si>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</si>
  <si>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</si>
  <si>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</si>
  <si>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</si>
  <si>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</si>
  <si>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</si>
  <si>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</si>
  <si>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</si>
  <si>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</si>
  <si>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</si>
  <si>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</si>
  <si>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</si>
  <si>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</si>
  <si>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</si>
  <si>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</si>
  <si>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</si>
  <si>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</si>
  <si>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</si>
  <si>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</si>
  <si>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</si>
  <si>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</si>
  <si>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</si>
  <si>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</si>
  <si>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</si>
  <si>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</si>
  <si>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</si>
  <si>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</si>
  <si>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</si>
  <si>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</si>
  <si>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</si>
  <si>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</si>
  <si>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</si>
  <si>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</si>
  <si>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</si>
  <si>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</si>
  <si>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</si>
  <si>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</si>
  <si>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</si>
  <si>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</si>
  <si>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</si>
  <si>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</si>
  <si>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</si>
  <si>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</si>
  <si>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</si>
  <si>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</si>
  <si>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</si>
  <si>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</si>
  <si>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</si>
  <si>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</si>
  <si>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</si>
  <si>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</si>
  <si>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</si>
  <si>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</si>
  <si>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</si>
  <si>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</si>
  <si>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</si>
  <si>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</si>
  <si>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</si>
  <si>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</si>
  <si>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</si>
  <si>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</si>
  <si>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</si>
  <si>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</si>
  <si>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</si>
  <si>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</si>
  <si>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</si>
  <si>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</si>
  <si>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</si>
  <si>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</si>
  <si>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</si>
  <si>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</si>
  <si>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</si>
  <si>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</si>
  <si>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</si>
  <si>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</si>
  <si>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</si>
  <si>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</si>
  <si>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</si>
  <si>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</si>
  <si>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</si>
  <si>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</si>
  <si>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</si>
  <si>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</si>
  <si>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</si>
  <si>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</si>
  <si>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</si>
  <si>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</si>
  <si>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</si>
  <si>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</si>
  <si>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</si>
  <si>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</si>
  <si>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</si>
  <si>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</si>
  <si>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</si>
  <si>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</si>
  <si>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</si>
  <si>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</si>
  <si>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</si>
  <si>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</si>
  <si>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</si>
  <si>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</si>
  <si>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</si>
  <si>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</si>
  <si>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</si>
  <si>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</si>
  <si>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</si>
  <si>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</si>
  <si>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</si>
  <si>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</si>
  <si>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</si>
  <si>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</si>
  <si>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</si>
  <si>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</si>
  <si>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</si>
  <si>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</si>
  <si>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</si>
  <si>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</si>
  <si>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</si>
  <si>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</si>
  <si>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</si>
  <si>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</si>
  <si>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</si>
  <si>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</si>
  <si>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</si>
  <si>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</si>
  <si>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</si>
  <si>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</si>
  <si>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</si>
  <si>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</si>
  <si>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</si>
  <si>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</si>
  <si>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</si>
  <si>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</si>
  <si>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</si>
  <si>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</si>
  <si>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</si>
  <si>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</si>
  <si>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</si>
  <si>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</si>
  <si>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</si>
  <si>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</si>
  <si>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</si>
  <si>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</si>
  <si>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</si>
  <si>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</si>
  <si>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</si>
  <si>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</si>
  <si>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</si>
  <si>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</si>
  <si>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</si>
  <si>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</si>
  <si>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</si>
  <si>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</si>
  <si>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</si>
  <si>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</si>
  <si>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</si>
  <si>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</si>
  <si>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</si>
  <si>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</si>
  <si>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</si>
  <si>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</si>
  <si>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</si>
  <si>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</si>
  <si>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</si>
  <si>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</si>
  <si>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</si>
  <si>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</si>
  <si>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</si>
  <si>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</si>
  <si>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</si>
  <si>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</si>
  <si>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</si>
  <si>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</si>
  <si>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</si>
  <si>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</si>
  <si>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</si>
  <si>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</si>
  <si>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</si>
  <si>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</si>
  <si>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</si>
  <si>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</si>
  <si>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</si>
  <si>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</si>
  <si>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</si>
  <si>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</si>
  <si>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</si>
  <si>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</si>
  <si>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</si>
  <si>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</si>
  <si>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</si>
  <si>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</si>
  <si>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</si>
  <si>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</si>
  <si>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</si>
  <si>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</si>
  <si>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</si>
  <si>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</si>
  <si>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</si>
  <si>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</si>
  <si>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</si>
  <si>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</si>
  <si>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</si>
  <si>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</si>
  <si>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</si>
  <si>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</si>
  <si>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</si>
  <si>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</si>
  <si>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</si>
  <si>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</si>
  <si>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</si>
  <si>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</si>
  <si>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</si>
  <si>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</si>
  <si>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</si>
  <si>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</si>
  <si>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</si>
  <si>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</si>
  <si>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</si>
  <si>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</si>
  <si>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</si>
  <si>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</si>
  <si>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</si>
  <si>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</si>
  <si>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</si>
  <si>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</si>
  <si>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</si>
  <si>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</si>
  <si>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</si>
  <si>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</si>
  <si>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</si>
  <si>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</si>
  <si>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</si>
  <si>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</si>
  <si>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</si>
  <si>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</si>
  <si>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</si>
  <si>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</si>
  <si>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</si>
  <si>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</si>
  <si>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</si>
  <si>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</si>
  <si>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</si>
  <si>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</si>
  <si>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</si>
  <si>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</si>
  <si>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</si>
  <si>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</si>
  <si>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</si>
  <si>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</si>
  <si>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</si>
  <si>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</si>
  <si>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</si>
  <si>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</si>
  <si>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</si>
  <si>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</si>
  <si>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</si>
  <si>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</si>
  <si>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</si>
  <si>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</si>
  <si>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</si>
  <si>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</si>
  <si>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</si>
  <si>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</si>
  <si>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</si>
  <si>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</si>
  <si>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</si>
  <si>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</si>
  <si>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</si>
  <si>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</si>
  <si>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</si>
  <si>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</si>
  <si>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</si>
  <si>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</si>
  <si>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</si>
  <si>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</si>
  <si>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</si>
  <si>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</si>
  <si>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</si>
  <si>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</si>
  <si>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</si>
  <si>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</si>
  <si>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</si>
  <si>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</si>
  <si>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</si>
  <si>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</si>
  <si>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</si>
  <si>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</si>
  <si>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</si>
  <si>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</si>
  <si>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</si>
  <si>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</si>
  <si>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</si>
  <si>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</si>
  <si>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</si>
  <si>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</si>
  <si>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</si>
  <si>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</si>
  <si>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</si>
  <si>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</si>
  <si>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</si>
  <si>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</si>
  <si>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</si>
  <si>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</si>
  <si>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</si>
  <si>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</si>
  <si>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</si>
  <si>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</si>
  <si>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</si>
  <si>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</si>
  <si>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</si>
  <si>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</si>
  <si>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</si>
  <si>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</si>
  <si>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</si>
  <si>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</si>
  <si>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</si>
  <si>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</si>
  <si>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</si>
  <si>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</si>
  <si>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</si>
  <si>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</si>
  <si>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</si>
  <si>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</si>
  <si>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</si>
  <si>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</si>
  <si>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</si>
  <si>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</si>
  <si>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</si>
  <si>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</si>
  <si>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</si>
  <si>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</si>
  <si>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</si>
  <si>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</si>
  <si>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</si>
  <si>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</si>
  <si>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</si>
  <si>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</si>
  <si>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</si>
  <si>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</si>
  <si>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</si>
  <si>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</si>
  <si>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</si>
  <si>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</si>
  <si>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</si>
  <si>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</si>
  <si>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</si>
  <si>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</si>
  <si>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</si>
  <si>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</si>
  <si>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</si>
  <si>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</si>
  <si>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</si>
  <si>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</si>
  <si>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</si>
  <si>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</si>
  <si>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</si>
  <si>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</si>
  <si>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</si>
  <si>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</si>
  <si>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</si>
  <si>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</si>
  <si>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</si>
  <si>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</si>
  <si>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</si>
  <si>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</si>
  <si>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</si>
  <si>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</si>
  <si>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</si>
  <si>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</si>
  <si>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</si>
  <si>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</si>
  <si>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</si>
  <si>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</si>
  <si>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</si>
  <si>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</si>
  <si>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</si>
  <si>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</si>
  <si>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</si>
  <si>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</si>
  <si>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</si>
  <si>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</si>
  <si>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</si>
  <si>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</si>
  <si>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</si>
  <si>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</si>
  <si>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</si>
  <si>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</si>
  <si>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</si>
  <si>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</si>
  <si>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</si>
  <si>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</si>
  <si>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</si>
  <si>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</si>
  <si>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</si>
  <si>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</si>
  <si>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</si>
  <si>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</si>
  <si>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</si>
  <si>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</si>
  <si>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</si>
  <si>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</si>
  <si>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</si>
  <si>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</si>
  <si>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</si>
  <si>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</si>
  <si>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</si>
  <si>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</si>
  <si>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</si>
  <si>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</si>
  <si>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</si>
  <si>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</si>
  <si>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</si>
  <si>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</si>
  <si>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</si>
  <si>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</si>
  <si>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</si>
  <si>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</si>
  <si>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</si>
  <si>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</si>
  <si>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</si>
  <si>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</si>
  <si>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</si>
  <si>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</si>
  <si>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</si>
  <si>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</si>
  <si>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</si>
  <si>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</si>
  <si>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</si>
  <si>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</si>
  <si>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</si>
  <si>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</si>
  <si>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</si>
  <si>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</si>
  <si>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</si>
  <si>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</si>
  <si>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</si>
  <si>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</si>
  <si>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</si>
  <si>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</si>
  <si>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</si>
  <si>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</si>
  <si>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</si>
  <si>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</si>
  <si>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</si>
  <si>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</si>
  <si>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</si>
  <si>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</si>
  <si>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</si>
  <si>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</si>
  <si>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</si>
  <si>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</si>
  <si>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</si>
  <si>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</si>
  <si>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</si>
  <si>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</si>
  <si>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</si>
  <si>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</si>
  <si>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</si>
  <si>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</si>
  <si>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</si>
  <si>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</si>
  <si>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</si>
  <si>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</si>
  <si>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</si>
  <si>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</si>
  <si>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</si>
  <si>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</si>
  <si>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</si>
  <si>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</si>
  <si>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</si>
  <si>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</si>
  <si>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</si>
  <si>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</si>
  <si>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</si>
  <si>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</si>
  <si>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</si>
  <si>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</si>
  <si>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</si>
  <si>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</si>
  <si>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</si>
  <si>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</si>
  <si>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</si>
  <si>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</si>
  <si>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</si>
  <si>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</si>
  <si>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</si>
  <si>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</si>
  <si>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</si>
  <si>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</si>
  <si>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</si>
  <si>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</si>
  <si>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</si>
  <si>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</si>
  <si>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</si>
  <si>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</si>
  <si>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</si>
  <si>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</si>
  <si>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</si>
  <si>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</si>
  <si>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</si>
  <si>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</si>
  <si>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</si>
  <si>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</si>
  <si>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</si>
  <si>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</si>
  <si>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</si>
  <si>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</si>
  <si>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</si>
  <si>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</si>
  <si>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</si>
  <si>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</si>
  <si>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</si>
  <si>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</si>
  <si>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</si>
  <si>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</si>
  <si>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</si>
  <si>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</si>
  <si>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</si>
  <si>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</si>
  <si>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</si>
  <si>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</si>
  <si>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</si>
  <si>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</si>
  <si>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</si>
  <si>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</si>
  <si>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</si>
  <si>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</si>
  <si>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</si>
  <si>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</si>
  <si>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</si>
  <si>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</si>
  <si>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</si>
  <si>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</si>
  <si>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</si>
  <si>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</si>
  <si>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</si>
  <si>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</si>
  <si>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</si>
  <si>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</si>
  <si>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</si>
  <si>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</si>
  <si>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</si>
  <si>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</si>
  <si>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</si>
  <si>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</si>
  <si>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</si>
  <si>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</si>
  <si>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</si>
  <si>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</si>
  <si>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</si>
  <si>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</si>
  <si>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</si>
  <si>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</si>
  <si>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</si>
  <si>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</si>
  <si>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</si>
  <si>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</si>
  <si>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</si>
  <si>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</si>
  <si>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</si>
  <si>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</si>
  <si>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</si>
  <si>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</si>
  <si>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</si>
  <si>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</si>
  <si>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</si>
  <si>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</si>
  <si>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</si>
  <si>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</si>
  <si>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</si>
  <si>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</si>
  <si>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</si>
  <si>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</si>
  <si>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</si>
  <si>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</si>
  <si>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</si>
  <si>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</si>
  <si>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</si>
  <si>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</si>
  <si>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</si>
  <si>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</si>
  <si>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</si>
  <si>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</si>
  <si>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</si>
  <si>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</si>
  <si>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</si>
  <si>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</si>
  <si>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</si>
  <si>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</si>
  <si>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</si>
  <si>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</si>
  <si>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</si>
  <si>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</si>
  <si>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</si>
  <si>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</si>
  <si>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</si>
  <si>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</si>
  <si>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</si>
  <si>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</si>
  <si>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</si>
  <si>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</si>
  <si>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</si>
  <si>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</si>
  <si>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</si>
  <si>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</si>
  <si>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</si>
  <si>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</si>
  <si>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</si>
  <si>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</si>
  <si>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</si>
  <si>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</si>
  <si>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</si>
  <si>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</si>
  <si>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</si>
  <si>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</si>
  <si>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</si>
  <si>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</si>
  <si>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</si>
  <si>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</si>
  <si>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</si>
  <si>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</si>
  <si>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</si>
  <si>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</si>
  <si>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</si>
  <si>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</si>
  <si>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</si>
  <si>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</si>
  <si>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</si>
  <si>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</si>
  <si>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</si>
  <si>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</si>
  <si>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</si>
  <si>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</si>
  <si>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</si>
  <si>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</si>
  <si>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</si>
  <si>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</si>
  <si>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</si>
  <si>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</si>
  <si>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</si>
  <si>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</si>
  <si>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</si>
  <si>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</si>
  <si>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</si>
  <si>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</si>
  <si>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</si>
  <si>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</si>
  <si>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</si>
  <si>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</si>
  <si>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</si>
  <si>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</si>
  <si>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</si>
  <si>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</si>
  <si>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</si>
  <si>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</si>
  <si>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</si>
  <si>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</si>
  <si>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</si>
  <si>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</si>
  <si>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</si>
  <si>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</si>
  <si>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</si>
  <si>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</si>
  <si>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</si>
  <si>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</si>
  <si>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</si>
  <si>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</si>
  <si>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</si>
  <si>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</si>
  <si>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</si>
  <si>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</si>
  <si>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</si>
  <si>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</si>
  <si>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</si>
  <si>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</si>
  <si>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</si>
  <si>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</si>
  <si>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</si>
  <si>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</si>
  <si>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</si>
  <si>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</si>
  <si>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</si>
  <si>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</si>
  <si>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</si>
  <si>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</si>
  <si>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</si>
  <si>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</si>
  <si>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</si>
  <si>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</si>
  <si>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</si>
  <si>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</si>
  <si>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</si>
  <si>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</si>
  <si>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</si>
  <si>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</si>
  <si>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</si>
  <si>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</si>
  <si>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</si>
  <si>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</si>
  <si>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</si>
  <si>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</si>
  <si>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</si>
  <si>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</si>
  <si>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</si>
  <si>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</si>
  <si>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</si>
  <si>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</si>
  <si>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</si>
  <si>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</si>
  <si>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</si>
  <si>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</si>
  <si>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</si>
  <si>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</si>
  <si>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</si>
  <si>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</si>
  <si>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</si>
  <si>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</si>
  <si>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</si>
  <si>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</si>
  <si>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</si>
  <si>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</si>
  <si>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</si>
  <si>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</si>
  <si>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</si>
  <si>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</si>
  <si>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</si>
  <si>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</si>
  <si>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</si>
  <si>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</si>
  <si>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</si>
  <si>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</si>
  <si>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</si>
  <si>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</si>
  <si>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</si>
  <si>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</si>
  <si>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</si>
  <si>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</si>
  <si>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</si>
  <si>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</si>
  <si>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</si>
  <si>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</si>
  <si>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</si>
  <si>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</si>
  <si>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</si>
  <si>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</si>
  <si>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</si>
  <si>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</si>
  <si>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</si>
  <si>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</si>
  <si>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</si>
  <si>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</si>
  <si>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</si>
  <si>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</si>
  <si>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</si>
  <si>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</si>
  <si>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</si>
  <si>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</si>
  <si>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</si>
  <si>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</si>
  <si>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</si>
  <si>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</si>
  <si>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</si>
  <si>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</si>
  <si>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</si>
  <si>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</si>
  <si>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</si>
  <si>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</si>
  <si>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</si>
  <si>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</si>
  <si>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</si>
  <si>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</si>
  <si>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</si>
  <si>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</si>
  <si>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</si>
  <si>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</si>
  <si>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</si>
  <si>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</si>
  <si>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</si>
  <si>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</si>
  <si>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</si>
  <si>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</si>
  <si>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</si>
  <si>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</si>
  <si>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</si>
  <si>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</si>
  <si>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</si>
  <si>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</si>
  <si>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</si>
  <si>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</si>
  <si>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</si>
  <si>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</si>
  <si>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</si>
  <si>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</si>
  <si>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</si>
  <si>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</si>
  <si>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</si>
  <si>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</si>
  <si>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</si>
  <si>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</si>
  <si>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</si>
  <si>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</si>
  <si>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</si>
  <si>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</si>
  <si>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</si>
  <si>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</si>
  <si>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</si>
  <si>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</si>
  <si>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</si>
  <si>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</si>
  <si>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</si>
  <si>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</si>
  <si>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</si>
  <si>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</si>
  <si>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</si>
  <si>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</si>
  <si>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</si>
  <si>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</si>
  <si>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</si>
  <si>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</si>
  <si>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</si>
  <si>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</si>
  <si>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</si>
  <si>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</si>
  <si>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</si>
  <si>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</si>
  <si>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</si>
  <si>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</si>
  <si>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</si>
  <si>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</si>
  <si>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</si>
  <si>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</si>
  <si>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</si>
  <si>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</si>
  <si>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</si>
  <si>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</si>
  <si>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</si>
  <si>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</si>
  <si>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</si>
  <si>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</si>
  <si>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</si>
  <si>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</si>
  <si>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</si>
  <si>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</si>
  <si>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</si>
  <si>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</si>
  <si>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</si>
  <si>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</si>
  <si>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</si>
  <si>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</si>
  <si>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</si>
  <si>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</si>
  <si>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</si>
  <si>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</si>
  <si>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</si>
  <si>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</si>
  <si>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</si>
  <si>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</si>
  <si>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</si>
  <si>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</si>
  <si>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</si>
  <si>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</si>
  <si>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</si>
  <si>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</si>
  <si>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</si>
  <si>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</si>
  <si>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</si>
  <si>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</si>
  <si>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</si>
  <si>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</si>
  <si>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</si>
  <si>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</si>
  <si>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</si>
  <si>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</si>
  <si>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</si>
  <si>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</si>
  <si>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</si>
  <si>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</si>
  <si>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</si>
  <si>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</si>
  <si>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</si>
  <si>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</si>
  <si>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</si>
  <si>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</si>
  <si>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</si>
  <si>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</si>
  <si>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</si>
  <si>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</si>
  <si>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</si>
  <si>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</si>
  <si>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</si>
  <si>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</si>
  <si>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</si>
  <si>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</si>
  <si>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</si>
  <si>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</si>
  <si>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</si>
  <si>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</si>
  <si>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</si>
  <si>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</si>
  <si>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</si>
  <si>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</si>
  <si>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</si>
  <si>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</si>
  <si>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</si>
  <si>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</si>
  <si>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</si>
  <si>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</si>
  <si>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</si>
  <si>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</si>
  <si>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</si>
  <si>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</si>
  <si>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</si>
  <si>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</si>
  <si>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</si>
  <si>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</si>
  <si>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</si>
  <si>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</si>
  <si>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</si>
  <si>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</si>
  <si>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</si>
  <si>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</si>
  <si>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</si>
  <si>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</si>
  <si>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</si>
  <si>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</si>
  <si>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</si>
  <si>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</si>
  <si>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</si>
  <si>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</si>
  <si>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</si>
  <si>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</si>
  <si>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</si>
  <si>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</si>
  <si>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</si>
  <si>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</si>
  <si>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</si>
  <si>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</si>
  <si>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</si>
  <si>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</si>
  <si>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</si>
  <si>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</si>
  <si>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</si>
  <si>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</si>
  <si>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</si>
  <si>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</si>
  <si>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</si>
  <si>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</si>
  <si>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</si>
  <si>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</si>
  <si>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</si>
  <si>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</si>
  <si>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</si>
  <si>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</si>
  <si>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</si>
  <si>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</si>
  <si>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</si>
  <si>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</si>
  <si>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</si>
  <si>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</si>
  <si>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</si>
  <si>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</si>
  <si>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</si>
  <si>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</si>
  <si>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</si>
  <si>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</si>
  <si>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</si>
  <si>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</si>
  <si>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</si>
  <si>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</si>
  <si>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</si>
  <si>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</si>
  <si>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</si>
  <si>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</si>
  <si>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</si>
  <si>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</si>
  <si>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</si>
  <si>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</si>
  <si>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</si>
  <si>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</si>
  <si>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</si>
  <si>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</si>
  <si>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</si>
  <si>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</si>
  <si>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</si>
  <si>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</si>
  <si>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</si>
  <si>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</si>
  <si>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</si>
  <si>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</si>
  <si>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</si>
  <si>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</si>
  <si>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</si>
  <si>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</si>
  <si>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</si>
  <si>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</si>
  <si>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</si>
  <si>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</si>
  <si>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</si>
  <si>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</si>
  <si>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</si>
  <si>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</si>
  <si>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</si>
  <si>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</si>
  <si>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</si>
  <si>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</si>
  <si>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</si>
  <si>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</si>
  <si>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</si>
  <si>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</si>
  <si>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</si>
  <si>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</si>
  <si>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</si>
  <si>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</si>
  <si>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</si>
  <si>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</si>
  <si>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</si>
  <si>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</si>
  <si>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</si>
  <si>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</si>
  <si>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</si>
  <si>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</si>
  <si>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</si>
  <si>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</si>
  <si>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</si>
  <si>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</si>
  <si>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</si>
  <si>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</si>
  <si>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</si>
  <si>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</si>
  <si>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</si>
  <si>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</si>
  <si>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</si>
  <si>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</si>
  <si>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</si>
  <si>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</si>
  <si>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</si>
  <si>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</si>
  <si>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</si>
  <si>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</si>
  <si>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</si>
  <si>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</si>
  <si>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</si>
  <si>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</si>
  <si>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</si>
  <si>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</si>
  <si>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</si>
  <si>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</si>
  <si>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</si>
  <si>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</si>
  <si>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</si>
  <si>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</si>
  <si>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</si>
  <si>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</si>
  <si>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</si>
  <si>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</si>
  <si>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</si>
  <si>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</si>
  <si>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</si>
  <si>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</si>
  <si>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</si>
  <si>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</si>
  <si>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</si>
  <si>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</si>
  <si>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</si>
  <si>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</si>
  <si>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</si>
  <si>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</si>
  <si>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</si>
  <si>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</si>
  <si>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</si>
  <si>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</si>
  <si>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</si>
  <si>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</si>
  <si>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</si>
  <si>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</si>
  <si>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</si>
  <si>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</si>
  <si>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</si>
  <si>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</si>
  <si>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</si>
  <si>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</si>
  <si>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</si>
  <si>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</si>
  <si>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</si>
  <si>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</si>
  <si>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</si>
  <si>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</si>
  <si>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</si>
  <si>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</si>
  <si>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</si>
  <si>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</si>
  <si>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</si>
  <si>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</si>
  <si>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</si>
  <si>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</si>
  <si>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</si>
  <si>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</si>
  <si>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</si>
  <si>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</si>
  <si>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</si>
  <si>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</si>
  <si>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</si>
  <si>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</si>
  <si>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</si>
  <si>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</si>
  <si>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</si>
  <si>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</si>
  <si>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</si>
  <si>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</si>
  <si>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</si>
  <si>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</si>
  <si>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</si>
  <si>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</si>
  <si>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</si>
  <si>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</si>
  <si>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</si>
  <si>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</si>
  <si>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</si>
  <si>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</si>
  <si>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</si>
  <si>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</si>
  <si>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</si>
  <si>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</si>
  <si>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</si>
  <si>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</si>
  <si>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</si>
  <si>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</si>
  <si>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</si>
  <si>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</si>
  <si>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</si>
  <si>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</si>
  <si>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</si>
  <si>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</si>
  <si>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</si>
  <si>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</si>
  <si>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</si>
  <si>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</si>
  <si>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</si>
  <si>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</si>
  <si>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</si>
  <si>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</si>
  <si>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</si>
  <si>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</si>
  <si>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</si>
  <si>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</si>
  <si>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</si>
  <si>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</si>
  <si>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</si>
  <si>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</si>
  <si>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</si>
  <si>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</si>
  <si>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</si>
  <si>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</si>
  <si>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</si>
  <si>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</si>
  <si>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</si>
  <si>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</si>
  <si>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</si>
  <si>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</si>
  <si>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</si>
  <si>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</si>
  <si>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</si>
  <si>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</si>
  <si>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</si>
  <si>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</si>
  <si>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</si>
  <si>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</si>
  <si>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</si>
  <si>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</si>
  <si>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</si>
  <si>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</si>
  <si>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</si>
  <si>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</si>
  <si>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</si>
  <si>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</si>
  <si>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</si>
  <si>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</si>
  <si>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</si>
  <si>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</si>
  <si>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</si>
  <si>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</si>
  <si>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</si>
  <si>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</si>
  <si>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</si>
  <si>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</si>
  <si>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</si>
  <si>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</si>
  <si>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</si>
  <si>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</si>
  <si>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</si>
  <si>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</si>
  <si>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</si>
  <si>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</si>
  <si>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</si>
  <si>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</si>
  <si>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</si>
  <si>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</si>
  <si>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</si>
  <si>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</si>
  <si>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</si>
  <si>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</si>
  <si>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</si>
  <si>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</si>
  <si>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</si>
  <si>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</si>
  <si>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</si>
  <si>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</si>
  <si>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</si>
  <si>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</si>
  <si>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</si>
  <si>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</si>
  <si>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</si>
  <si>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</si>
  <si>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</si>
  <si>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</si>
  <si>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</si>
  <si>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</si>
  <si>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</si>
  <si>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</si>
  <si>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</si>
  <si>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</si>
  <si>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</si>
  <si>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</si>
  <si>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</si>
  <si>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</si>
  <si>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</si>
  <si>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</si>
  <si>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</si>
  <si>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</si>
  <si>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</si>
  <si>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</si>
  <si>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</si>
  <si>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</si>
  <si>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</si>
  <si>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</si>
  <si>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</si>
  <si>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</si>
  <si>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</si>
  <si>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</si>
  <si>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</si>
  <si>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</si>
  <si>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</si>
  <si>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</si>
  <si>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</si>
  <si>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</si>
  <si>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</si>
  <si>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</si>
  <si>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</si>
  <si>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</si>
  <si>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</si>
  <si>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</si>
  <si>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</si>
  <si>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</si>
  <si>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</si>
  <si>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</si>
  <si>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</si>
  <si>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</si>
  <si>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</si>
  <si>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</si>
  <si>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</si>
  <si>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</si>
  <si>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</si>
  <si>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</si>
  <si>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</si>
  <si>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</si>
  <si>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</si>
  <si>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</si>
  <si>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</si>
  <si>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</si>
  <si>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</si>
  <si>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</si>
  <si>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</si>
  <si>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</si>
  <si>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</si>
  <si>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</si>
  <si>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</si>
  <si>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</si>
  <si>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</si>
  <si>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</si>
  <si>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</si>
  <si>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</si>
  <si>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</si>
  <si>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</si>
  <si>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</si>
  <si>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</si>
  <si>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</si>
  <si>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</si>
  <si>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</si>
  <si>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</si>
  <si>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</si>
  <si>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</si>
  <si>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</si>
  <si>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</si>
  <si>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</si>
  <si>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</si>
  <si>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</si>
  <si>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</si>
  <si>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</si>
  <si>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</si>
  <si>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</si>
  <si>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</si>
  <si>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</si>
  <si>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</si>
  <si>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</si>
  <si>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</si>
  <si>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</si>
  <si>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</si>
  <si>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</si>
  <si>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</si>
  <si>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</si>
  <si>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</si>
  <si>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</si>
  <si>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</si>
  <si>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</si>
  <si>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</si>
  <si>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</si>
  <si>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</si>
  <si>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</si>
  <si>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</si>
  <si>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</si>
  <si>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</si>
  <si>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</si>
  <si>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</si>
  <si>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</si>
  <si>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</si>
  <si>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</si>
  <si>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</si>
  <si>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</si>
  <si>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</si>
  <si>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</si>
  <si>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</si>
  <si>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</si>
  <si>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</si>
  <si>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</si>
  <si>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</si>
  <si>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</si>
  <si>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</si>
  <si>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</si>
  <si>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</si>
  <si>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</si>
  <si>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</si>
  <si>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</si>
  <si>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</si>
  <si>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</si>
  <si>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</si>
  <si>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</si>
  <si>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</si>
  <si>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</si>
  <si>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</si>
  <si>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</si>
  <si>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</si>
  <si>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</si>
  <si>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</si>
  <si>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</si>
  <si>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</si>
  <si>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</si>
  <si>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</si>
  <si>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</si>
  <si>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</si>
  <si>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</si>
  <si>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</si>
  <si>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</si>
  <si>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</si>
  <si>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</si>
  <si>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</si>
  <si>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</si>
  <si>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</si>
  <si>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</si>
  <si>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</si>
  <si>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</si>
  <si>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</si>
  <si>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</si>
  <si>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</si>
  <si>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</si>
  <si>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</si>
  <si>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</si>
  <si>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</si>
  <si>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</si>
  <si>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</si>
  <si>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</si>
  <si>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</si>
  <si>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</si>
  <si>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</si>
  <si>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</si>
  <si>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</si>
  <si>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</si>
  <si>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</si>
  <si>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</si>
  <si>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</si>
  <si>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</si>
  <si>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</si>
  <si>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</si>
  <si>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</si>
  <si>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</si>
  <si>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</si>
  <si>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</si>
  <si>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</si>
  <si>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</si>
  <si>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</si>
  <si>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</si>
  <si>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</si>
  <si>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</si>
  <si>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</si>
  <si>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</si>
  <si>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</si>
  <si>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</si>
  <si>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</si>
  <si>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</si>
  <si>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</si>
  <si>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</si>
  <si>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</si>
  <si>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</si>
  <si>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</si>
  <si>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</si>
  <si>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</si>
  <si>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</si>
  <si>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</si>
  <si>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</si>
  <si>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</si>
  <si>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</si>
  <si>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</si>
  <si>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</si>
  <si>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</si>
  <si>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</si>
  <si>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</si>
  <si>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</si>
  <si>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</si>
  <si>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</si>
  <si>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</si>
  <si>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</si>
  <si>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</si>
  <si>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</si>
  <si>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</si>
  <si>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</si>
  <si>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</si>
  <si>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</si>
  <si>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</si>
  <si>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</si>
  <si>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</si>
  <si>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</si>
  <si>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</si>
  <si>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</si>
  <si>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</si>
  <si>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</si>
  <si>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</si>
  <si>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</si>
  <si>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</si>
  <si>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</si>
  <si>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</si>
  <si>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</si>
  <si>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</si>
  <si>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</si>
  <si>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</si>
  <si>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</si>
  <si>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</si>
  <si>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</si>
  <si>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</si>
  <si>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</si>
  <si>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</si>
  <si>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</si>
  <si>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</si>
  <si>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</si>
  <si>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</si>
  <si>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</si>
  <si>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</si>
  <si>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</si>
  <si>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</si>
  <si>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</si>
  <si>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</si>
  <si>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</si>
  <si>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</si>
  <si>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</si>
  <si>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</si>
  <si>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</si>
  <si>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</si>
  <si>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</si>
  <si>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</si>
  <si>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</si>
  <si>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</si>
  <si>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</si>
  <si>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</si>
  <si>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</si>
  <si>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</si>
  <si>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</si>
  <si>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</si>
  <si>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</si>
  <si>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</si>
  <si>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</si>
  <si>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</si>
  <si>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</si>
  <si>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</si>
  <si>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</si>
  <si>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</si>
  <si>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</si>
  <si>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</si>
  <si>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</si>
  <si>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</si>
  <si>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</si>
  <si>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</si>
  <si>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</si>
  <si>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</si>
  <si>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</si>
  <si>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</si>
  <si>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</si>
  <si>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</si>
  <si>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</si>
  <si>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</si>
  <si>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</si>
  <si>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</si>
  <si>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</si>
  <si>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</si>
  <si>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</si>
  <si>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</si>
  <si>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</si>
  <si>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</si>
  <si>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</si>
  <si>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</si>
  <si>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</si>
  <si>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</si>
  <si>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</si>
  <si>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</si>
  <si>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</si>
  <si>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</si>
  <si>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</si>
  <si>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</si>
  <si>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</si>
  <si>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</si>
  <si>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</si>
  <si>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</si>
  <si>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</si>
  <si>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</si>
  <si>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</si>
  <si>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</si>
  <si>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</si>
  <si>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</si>
  <si>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</si>
  <si>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</si>
  <si>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</si>
  <si>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</si>
  <si>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</si>
  <si>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</si>
  <si>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</si>
  <si>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</si>
  <si>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</si>
  <si>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</si>
  <si>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</si>
  <si>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</si>
  <si>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</si>
  <si>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</si>
  <si>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</si>
  <si>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</si>
  <si>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</si>
  <si>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</si>
  <si>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</si>
  <si>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</si>
  <si>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</si>
  <si>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</si>
  <si>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</si>
  <si>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</si>
  <si>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</si>
  <si>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</si>
  <si>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</si>
  <si>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</si>
  <si>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</si>
  <si>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</si>
  <si>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</si>
  <si>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</si>
  <si>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</si>
  <si>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</si>
  <si>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</si>
  <si>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</si>
  <si>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</si>
  <si>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</si>
  <si>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</si>
  <si>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</si>
  <si>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</si>
  <si>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</si>
  <si>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</si>
  <si>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</si>
  <si>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</si>
  <si>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</si>
  <si>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</si>
  <si>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</si>
  <si>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</si>
  <si>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</si>
  <si>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</si>
  <si>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</si>
  <si>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</si>
  <si>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</si>
  <si>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</si>
  <si>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</si>
  <si>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</si>
  <si>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</si>
  <si>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</si>
  <si>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</si>
  <si>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</si>
  <si>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</si>
  <si>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</si>
  <si>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</si>
  <si>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</si>
  <si>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</si>
  <si>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</si>
  <si>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</si>
  <si>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</si>
  <si>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</si>
  <si>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</si>
  <si>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</si>
  <si>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</si>
  <si>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</si>
  <si>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</si>
  <si>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</si>
  <si>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</si>
  <si>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</si>
  <si>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</si>
  <si>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</si>
  <si>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</si>
  <si>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</si>
  <si>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</si>
  <si>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</si>
  <si>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</si>
  <si>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</si>
  <si>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</si>
  <si>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</si>
  <si>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</si>
  <si>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</si>
  <si>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</si>
  <si>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</si>
  <si>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</si>
  <si>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</si>
  <si>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</si>
  <si>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</si>
  <si>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</si>
  <si>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</si>
  <si>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</si>
  <si>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</si>
  <si>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</si>
  <si>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</si>
  <si>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</si>
  <si>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</si>
  <si>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</si>
  <si>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</si>
  <si>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</si>
  <si>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</si>
  <si>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</si>
  <si>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</si>
  <si>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</si>
  <si>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</si>
  <si>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</si>
  <si>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</si>
  <si>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</si>
  <si>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</si>
  <si>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</si>
  <si>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</si>
  <si>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</si>
  <si>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</si>
  <si>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</si>
  <si>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</si>
  <si>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</si>
  <si>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</si>
  <si>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</si>
  <si>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</si>
  <si>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</si>
  <si>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</si>
  <si>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</si>
  <si>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</si>
  <si>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</si>
  <si>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</si>
  <si>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</si>
  <si>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</si>
  <si>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</si>
  <si>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</si>
  <si>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</si>
  <si>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</si>
  <si>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</si>
  <si>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</si>
  <si>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</si>
  <si>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</si>
  <si>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</si>
  <si>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</si>
  <si>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</si>
  <si>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</si>
  <si>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</si>
  <si>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</si>
  <si>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</si>
  <si>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</si>
  <si>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</si>
  <si>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</si>
  <si>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</si>
  <si>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</si>
  <si>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</si>
  <si>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</si>
  <si>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</si>
  <si>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</si>
  <si>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</si>
  <si>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</si>
  <si>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</si>
  <si>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</si>
  <si>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</si>
  <si>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</si>
  <si>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</si>
  <si>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</si>
  <si>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</si>
  <si>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</si>
  <si>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</si>
  <si>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</si>
  <si>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</si>
  <si>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</si>
  <si>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</si>
  <si>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</si>
  <si>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</si>
  <si>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</si>
  <si>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</si>
  <si>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</si>
  <si>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</si>
  <si>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</si>
  <si>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</si>
  <si>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</si>
  <si>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</si>
  <si>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</si>
  <si>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</si>
  <si>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</si>
  <si>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</si>
  <si>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</si>
  <si>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</si>
  <si>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</si>
  <si>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</si>
  <si>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</si>
  <si>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</si>
  <si>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</si>
  <si>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</si>
  <si>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</si>
  <si>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</si>
  <si>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</si>
  <si>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</si>
  <si>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</si>
  <si>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</si>
  <si>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</si>
  <si>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</si>
  <si>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</si>
  <si>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</si>
  <si>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</si>
  <si>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</si>
  <si>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</si>
  <si>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</si>
  <si>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</si>
  <si>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</si>
  <si>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</si>
  <si>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</si>
  <si>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</si>
  <si>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</si>
  <si>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</si>
  <si>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</si>
  <si>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</si>
  <si>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</si>
  <si>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</si>
  <si>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</si>
  <si>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</si>
  <si>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</si>
  <si>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</si>
  <si>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</si>
  <si>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</si>
  <si>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</si>
  <si>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</si>
  <si>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</si>
  <si>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</si>
  <si>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</si>
  <si>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</si>
  <si>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</si>
  <si>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</si>
  <si>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</si>
  <si>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</si>
  <si>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</si>
  <si>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</si>
  <si>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</si>
  <si>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</si>
  <si>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</si>
  <si>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</si>
  <si>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</si>
  <si>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</si>
  <si>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</si>
  <si>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</si>
  <si>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</si>
  <si>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</si>
  <si>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</si>
  <si>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</si>
  <si>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</si>
  <si>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</si>
  <si>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</si>
  <si>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</si>
  <si>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</si>
  <si>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</si>
  <si>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</si>
  <si>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</si>
  <si>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</si>
  <si>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</si>
  <si>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</si>
  <si>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</si>
  <si>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</si>
  <si>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</si>
  <si>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</si>
  <si>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</si>
  <si>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</si>
  <si>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</si>
  <si>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</si>
  <si>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</si>
  <si>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</si>
  <si>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</si>
  <si>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</si>
  <si>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</si>
  <si>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</si>
  <si>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</si>
  <si>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</si>
  <si>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</si>
  <si>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</si>
  <si>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</si>
  <si>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</si>
  <si>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</si>
  <si>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</si>
  <si>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</si>
  <si>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</si>
  <si>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</si>
  <si>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</si>
  <si>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</si>
  <si>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</si>
  <si>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</si>
  <si>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</si>
  <si>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</si>
  <si>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</si>
  <si>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</si>
  <si>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</si>
  <si>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</si>
  <si>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</si>
  <si>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</si>
  <si>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</si>
  <si>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</si>
  <si>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</si>
  <si>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</si>
  <si>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</si>
  <si>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</si>
  <si>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</si>
  <si>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</si>
  <si>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</si>
  <si>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</si>
  <si>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</si>
  <si>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</si>
  <si>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</si>
  <si>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</si>
  <si>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</si>
  <si>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</si>
  <si>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</si>
  <si>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</si>
  <si>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</si>
  <si>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</si>
  <si>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</si>
  <si>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</si>
  <si>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</si>
  <si>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</si>
  <si>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</si>
  <si>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</si>
  <si>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</si>
  <si>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</si>
  <si>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</si>
  <si>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</si>
  <si>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</si>
  <si>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</si>
  <si>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</si>
  <si>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</si>
  <si>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</si>
  <si>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</si>
  <si>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</si>
  <si>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</si>
  <si>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</si>
  <si>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</si>
  <si>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</si>
  <si>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</si>
  <si>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</si>
  <si>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</si>
  <si>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</si>
  <si>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</si>
  <si>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</si>
  <si>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</si>
  <si>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</si>
  <si>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</si>
  <si>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</si>
  <si>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</si>
  <si>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</si>
  <si>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</si>
  <si>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</si>
  <si>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</si>
  <si>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</si>
  <si>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</si>
  <si>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</si>
  <si>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</si>
  <si>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</si>
  <si>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</si>
  <si>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</si>
  <si>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</si>
  <si>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</si>
  <si>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</si>
  <si>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</si>
  <si>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</si>
  <si>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</si>
  <si>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</si>
  <si>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</si>
  <si>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</si>
  <si>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</si>
  <si>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</si>
  <si>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</si>
  <si>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</si>
  <si>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</si>
  <si>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</si>
  <si>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</si>
  <si>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</si>
  <si>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</si>
  <si>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</si>
  <si>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</si>
  <si>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</si>
  <si>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</si>
  <si>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</si>
  <si>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</si>
  <si>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</si>
  <si>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</si>
  <si>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</si>
  <si>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</si>
  <si>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</si>
  <si>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</si>
  <si>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</si>
  <si>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</si>
  <si>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</si>
  <si>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</si>
  <si>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</si>
  <si>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</si>
  <si>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</si>
  <si>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</si>
  <si>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</si>
  <si>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</si>
  <si>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</si>
  <si>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</si>
  <si>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</si>
  <si>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</si>
  <si>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</si>
  <si>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</si>
  <si>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</si>
  <si>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</si>
  <si>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</si>
  <si>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</si>
  <si>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</si>
  <si>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</si>
  <si>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</si>
  <si>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</si>
  <si>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</si>
  <si>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</si>
  <si>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</si>
  <si>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</si>
  <si>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</si>
  <si>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</si>
  <si>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</si>
  <si>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</si>
  <si>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</si>
  <si>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</si>
  <si>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</si>
  <si>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</si>
  <si>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</si>
  <si>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</si>
  <si>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</si>
  <si>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</si>
  <si>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</si>
  <si>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</si>
  <si>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</si>
  <si>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</si>
  <si>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</si>
  <si>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</si>
  <si>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</si>
  <si>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</si>
  <si>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</si>
  <si>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</si>
  <si>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</si>
  <si>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</si>
  <si>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</si>
  <si>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</si>
  <si>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</si>
  <si>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</si>
  <si>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</si>
  <si>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</si>
  <si>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</si>
  <si>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</si>
  <si>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</si>
  <si>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</si>
  <si>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</si>
  <si>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</si>
  <si>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</si>
  <si>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</si>
  <si>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</si>
  <si>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</si>
  <si>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</si>
  <si>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</si>
  <si>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</si>
  <si>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</si>
  <si>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</si>
  <si>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</si>
  <si>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</si>
  <si>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</si>
  <si>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</si>
  <si>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</si>
  <si>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</si>
  <si>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</si>
  <si>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</si>
  <si>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</si>
  <si>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</si>
  <si>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</si>
  <si>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</si>
  <si>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</si>
  <si>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</si>
  <si>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</si>
  <si>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</si>
  <si>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</si>
  <si>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</si>
  <si>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</si>
  <si>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</si>
  <si>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</si>
  <si>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</si>
  <si>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</si>
  <si>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</si>
  <si>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</si>
  <si>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</si>
  <si>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</si>
  <si>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</si>
  <si>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</si>
  <si>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</si>
  <si>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</si>
  <si>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</si>
  <si>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</si>
  <si>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</si>
  <si>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</si>
  <si>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</si>
  <si>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</si>
  <si>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</si>
  <si>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</si>
  <si>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</si>
  <si>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</si>
  <si>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</si>
  <si>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</si>
  <si>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</si>
  <si>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</si>
  <si>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</si>
  <si>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</si>
  <si>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</si>
  <si>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</si>
  <si>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</si>
  <si>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</si>
  <si>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</si>
  <si>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</si>
  <si>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</si>
  <si>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</si>
  <si>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</si>
  <si>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</si>
  <si>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</si>
  <si>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</si>
  <si>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</si>
  <si>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</si>
  <si>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</si>
  <si>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</si>
  <si>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</si>
  <si>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</si>
  <si>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</si>
  <si>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</si>
  <si>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</si>
  <si>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</si>
  <si>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</si>
  <si>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</si>
  <si>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</si>
  <si>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</si>
  <si>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</si>
  <si>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</si>
  <si>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</si>
  <si>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</si>
  <si>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</si>
  <si>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</si>
  <si>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</si>
  <si>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</si>
  <si>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</si>
  <si>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</si>
  <si>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</si>
  <si>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</si>
  <si>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</si>
  <si>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</si>
  <si>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</si>
  <si>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</si>
  <si>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</si>
  <si>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</si>
  <si>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</si>
  <si>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</si>
  <si>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</si>
  <si>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</si>
  <si>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</si>
  <si>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</si>
  <si>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</si>
  <si>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</si>
  <si>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</si>
  <si>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</si>
  <si>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</si>
  <si>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</si>
  <si>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</si>
  <si>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</si>
  <si>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</si>
  <si>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</si>
  <si>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</si>
  <si>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</si>
  <si>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</si>
  <si>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</si>
  <si>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</si>
  <si>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</si>
  <si>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</si>
  <si>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</si>
  <si>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</si>
  <si>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</si>
  <si>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</si>
  <si>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</si>
  <si>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</si>
  <si>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</si>
  <si>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</si>
  <si>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</si>
  <si>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</si>
  <si>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</si>
  <si>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</si>
  <si>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</si>
  <si>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</si>
  <si>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</si>
  <si>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</si>
  <si>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</si>
  <si>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</si>
  <si>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</si>
  <si>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</si>
  <si>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</si>
  <si>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</si>
  <si>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</si>
  <si>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</si>
  <si>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</si>
  <si>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</si>
  <si>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</si>
  <si>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</si>
  <si>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</si>
  <si>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</si>
  <si>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</si>
  <si>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</si>
  <si>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</si>
  <si>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</si>
  <si>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</si>
  <si>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</si>
  <si>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</si>
  <si>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</si>
  <si>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</si>
  <si>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</si>
  <si>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</si>
  <si>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</si>
  <si>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</si>
  <si>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</si>
  <si>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</si>
  <si>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</si>
  <si>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</si>
  <si>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</si>
  <si>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</si>
  <si>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</si>
  <si>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</si>
  <si>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</si>
  <si>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</si>
  <si>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</si>
  <si>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</si>
  <si>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</si>
  <si>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</si>
  <si>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</si>
  <si>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</si>
  <si>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</si>
  <si>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</si>
  <si>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</si>
  <si>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</si>
  <si>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</si>
  <si>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</si>
  <si>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</si>
  <si>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</si>
  <si>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</si>
  <si>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</si>
  <si>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</si>
  <si>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</si>
  <si>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</si>
  <si>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</si>
  <si>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</si>
  <si>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</si>
  <si>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</si>
  <si>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</si>
  <si>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</si>
  <si>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</si>
  <si>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</si>
  <si>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</si>
  <si>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</si>
  <si>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</si>
  <si>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</si>
  <si>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</si>
  <si>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</si>
  <si>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</si>
  <si>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</si>
  <si>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</si>
  <si>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</si>
  <si>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</si>
  <si>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</si>
  <si>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</si>
  <si>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</si>
  <si>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</si>
  <si>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</si>
  <si>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</si>
  <si>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</si>
  <si>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</si>
  <si>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</si>
  <si>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</si>
  <si>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</si>
  <si>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</si>
  <si>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</si>
  <si>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</si>
  <si>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</si>
  <si>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</si>
  <si>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</si>
  <si>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</si>
  <si>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</si>
  <si>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</si>
  <si>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</si>
  <si>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</si>
  <si>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</si>
  <si>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</si>
  <si>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</si>
  <si>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</si>
  <si>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</si>
  <si>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</si>
  <si>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</si>
  <si>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</si>
  <si>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</si>
  <si>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</si>
  <si>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</si>
  <si>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</si>
  <si>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</si>
  <si>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</si>
  <si>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</si>
  <si>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</si>
  <si>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</si>
  <si>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</si>
  <si>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</si>
  <si>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</si>
  <si>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</si>
  <si>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</si>
  <si>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</si>
  <si>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</si>
  <si>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</si>
  <si>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</si>
  <si>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</si>
  <si>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</si>
  <si>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</si>
  <si>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</si>
  <si>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</si>
  <si>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</si>
  <si>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</si>
  <si>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</si>
  <si>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</si>
  <si>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</si>
  <si>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</si>
  <si>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</si>
  <si>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</si>
  <si>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</si>
  <si>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</si>
  <si>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</si>
  <si>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</si>
  <si>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</si>
  <si>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</si>
  <si>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</si>
  <si>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</si>
  <si>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</si>
  <si>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</si>
  <si>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</si>
  <si>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</si>
  <si>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</si>
  <si>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</si>
  <si>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</si>
  <si>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</si>
  <si>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</si>
  <si>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</si>
  <si>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</si>
  <si>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</si>
  <si>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</si>
  <si>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</si>
  <si>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</si>
  <si>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</si>
  <si>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</si>
  <si>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</si>
  <si>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</si>
  <si>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</si>
  <si>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</si>
  <si>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</si>
  <si>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</si>
  <si>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</si>
  <si>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</si>
  <si>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</si>
  <si>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</si>
  <si>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</si>
  <si>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</si>
  <si>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</si>
  <si>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</si>
  <si>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</si>
  <si>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</si>
  <si>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</si>
  <si>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</si>
  <si>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</si>
  <si>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</si>
  <si>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</si>
  <si>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</si>
  <si>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</si>
  <si>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</si>
  <si>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</si>
  <si>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</si>
  <si>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</si>
  <si>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</si>
  <si>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</si>
  <si>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</si>
  <si>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</si>
  <si>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</si>
  <si>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</si>
  <si>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</si>
  <si>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</si>
  <si>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</si>
  <si>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</si>
  <si>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</si>
  <si>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</si>
  <si>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</si>
  <si>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</si>
  <si>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</si>
  <si>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</si>
  <si>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</si>
  <si>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</si>
  <si>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</si>
  <si>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</si>
  <si>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</si>
  <si>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</si>
  <si>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</si>
  <si>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</si>
  <si>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</si>
  <si>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</si>
  <si>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</si>
  <si>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</si>
  <si>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</si>
  <si>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</si>
  <si>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</si>
  <si>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</si>
  <si>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</si>
  <si>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</si>
  <si>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</si>
  <si>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</si>
  <si>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</si>
  <si>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</si>
  <si>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</si>
  <si>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</si>
  <si>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</si>
  <si>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</si>
  <si>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</si>
  <si>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</si>
  <si>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</si>
  <si>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</si>
  <si>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</si>
  <si>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</si>
  <si>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</si>
  <si>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</si>
  <si>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</si>
  <si>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</si>
  <si>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</si>
  <si>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</si>
  <si>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</si>
  <si>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</si>
  <si>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</si>
  <si>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</si>
  <si>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</si>
  <si>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</si>
  <si>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</si>
  <si>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</si>
  <si>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</si>
  <si>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</si>
  <si>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</si>
  <si>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</si>
  <si>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</si>
  <si>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</si>
  <si>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</si>
  <si>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</si>
  <si>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</si>
  <si>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</si>
  <si>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</si>
  <si>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</si>
  <si>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</si>
  <si>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</si>
  <si>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</si>
  <si>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</si>
  <si>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</si>
  <si>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</si>
  <si>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</si>
  <si>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</si>
  <si>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</si>
  <si>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</si>
  <si>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</si>
  <si>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</si>
  <si>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</si>
  <si>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</si>
  <si>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</si>
  <si>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</si>
  <si>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</si>
  <si>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</si>
  <si>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</si>
  <si>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</si>
  <si>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</si>
  <si>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</si>
  <si>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</si>
  <si>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</si>
  <si>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</si>
  <si>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</si>
  <si>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</si>
  <si>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</si>
  <si>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</si>
  <si>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</si>
  <si>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</si>
  <si>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</si>
  <si>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</si>
  <si>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</si>
  <si>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</si>
  <si>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</si>
  <si>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</si>
  <si>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</si>
  <si>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</si>
  <si>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</si>
  <si>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</si>
  <si>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</si>
  <si>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</si>
  <si>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</si>
  <si>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</si>
  <si>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</si>
  <si>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</si>
  <si>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</si>
  <si>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</si>
  <si>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</si>
  <si>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</si>
  <si>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</si>
  <si>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</si>
  <si>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</si>
  <si>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</si>
  <si>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</si>
  <si>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</si>
  <si>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</si>
  <si>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</si>
  <si>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</si>
  <si>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</si>
  <si>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</si>
  <si>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</si>
  <si>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</si>
  <si>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</si>
  <si>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</si>
  <si>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</si>
  <si>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</si>
  <si>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</si>
  <si>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</si>
  <si>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</si>
  <si>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</si>
  <si>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</si>
  <si>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</si>
  <si>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</si>
  <si>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</si>
  <si>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</si>
  <si>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</si>
  <si>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</si>
  <si>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</si>
  <si>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</si>
  <si>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</si>
  <si>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</si>
  <si>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</si>
  <si>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</si>
  <si>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</si>
  <si>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</si>
  <si>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</si>
  <si>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</si>
  <si>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</si>
  <si>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</si>
  <si>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</si>
  <si>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</si>
  <si>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</si>
  <si>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</si>
  <si>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</si>
  <si>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</si>
  <si>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</si>
  <si>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</si>
  <si>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</si>
  <si>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</si>
  <si>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</si>
  <si>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</si>
  <si>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</si>
  <si>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</si>
  <si>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</si>
  <si>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</si>
  <si>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</si>
  <si>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</si>
  <si>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</si>
  <si>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</si>
  <si>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</si>
  <si>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</si>
  <si>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</si>
  <si>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</si>
  <si>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</si>
  <si>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</si>
  <si>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</si>
  <si>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</si>
  <si>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</si>
  <si>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</si>
  <si>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</si>
  <si>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</si>
  <si>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</si>
  <si>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</si>
  <si>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</si>
  <si>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</si>
  <si>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</si>
  <si>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</si>
  <si>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</si>
  <si>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</si>
  <si>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</si>
  <si>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</si>
  <si>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</si>
  <si>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</si>
  <si>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</si>
  <si>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</si>
  <si>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</si>
  <si>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</si>
  <si>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</si>
  <si>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</si>
  <si>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</si>
  <si>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</si>
  <si>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</si>
  <si>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</si>
  <si>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</si>
  <si>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</si>
  <si>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</si>
  <si>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</si>
  <si>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</si>
  <si>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</si>
  <si>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</si>
  <si>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</si>
  <si>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</si>
  <si>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</si>
  <si>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</si>
  <si>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</si>
  <si>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</si>
  <si>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</si>
  <si>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</si>
  <si>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</si>
  <si>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</si>
  <si>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</si>
  <si>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</si>
  <si>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</si>
  <si>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</si>
  <si>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</si>
  <si>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</si>
  <si>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</si>
  <si>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</si>
  <si>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</si>
  <si>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</si>
  <si>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</si>
  <si>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</si>
  <si>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</si>
  <si>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</si>
  <si>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</si>
  <si>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</si>
  <si>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</si>
  <si>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</si>
  <si>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</si>
  <si>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</si>
  <si>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</si>
  <si>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</si>
  <si>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</si>
  <si>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</si>
  <si>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</si>
  <si>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</si>
  <si>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</si>
  <si>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</si>
  <si>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</si>
  <si>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</si>
  <si>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</si>
  <si>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</si>
  <si>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</si>
  <si>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</si>
  <si>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</si>
  <si>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</si>
  <si>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</si>
  <si>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</si>
  <si>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</si>
  <si>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</si>
  <si>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</si>
  <si>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</si>
  <si>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</si>
  <si>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</si>
  <si>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</si>
  <si>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</si>
  <si>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</si>
  <si>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</si>
  <si>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</si>
  <si>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</si>
  <si>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</si>
  <si>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</si>
  <si>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</si>
  <si>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</si>
  <si>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</si>
  <si>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</si>
  <si>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</si>
  <si>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</si>
  <si>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</si>
  <si>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</si>
  <si>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</si>
  <si>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</si>
  <si>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</si>
  <si>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</si>
  <si>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</si>
  <si>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</si>
  <si>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</si>
  <si>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</si>
  <si>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</si>
  <si>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</si>
  <si>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</si>
  <si>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</si>
  <si>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</si>
  <si>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</si>
  <si>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</si>
  <si>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</si>
  <si>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</si>
  <si>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</si>
  <si>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</si>
  <si>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</si>
  <si>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</si>
  <si>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</si>
  <si>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</si>
  <si>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</si>
  <si>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</si>
  <si>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</si>
  <si>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</si>
  <si>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</si>
  <si>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</si>
  <si>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</si>
  <si>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</si>
  <si>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</si>
  <si>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</si>
  <si>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</si>
  <si>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</si>
  <si>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</si>
  <si>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</si>
  <si>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</si>
  <si>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</si>
  <si>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</si>
  <si>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</si>
  <si>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</si>
  <si>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</si>
  <si>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</si>
  <si>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</si>
  <si>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</si>
  <si>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</si>
  <si>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</si>
  <si>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</si>
  <si>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</si>
  <si>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</si>
  <si>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</si>
  <si>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</si>
  <si>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</si>
  <si>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</si>
  <si>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</si>
  <si>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</si>
  <si>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</si>
  <si>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</si>
  <si>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</si>
  <si>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</si>
  <si>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</si>
  <si>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</si>
  <si>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</si>
  <si>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</si>
  <si>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</si>
  <si>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</si>
  <si>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</si>
  <si>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</si>
  <si>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</si>
  <si>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</si>
  <si>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</si>
  <si>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</si>
  <si>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</si>
  <si>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</si>
  <si>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</si>
  <si>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</si>
  <si>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</si>
  <si>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</si>
  <si>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</si>
  <si>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</si>
  <si>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</si>
  <si>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</si>
  <si>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</si>
  <si>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</si>
  <si>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</si>
  <si>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</si>
  <si>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</si>
  <si>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</si>
  <si>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</si>
  <si>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</si>
  <si>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</si>
  <si>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</si>
  <si>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</si>
  <si>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</si>
  <si>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</si>
  <si>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</si>
  <si>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</si>
  <si>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</si>
  <si>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</si>
  <si>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</si>
  <si>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</si>
  <si>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</si>
  <si>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</si>
  <si>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</si>
  <si>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</si>
  <si>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</si>
  <si>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</si>
  <si>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</si>
  <si>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</si>
  <si>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</si>
  <si>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</si>
  <si>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</si>
  <si>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</si>
  <si>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</si>
  <si>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</si>
  <si>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</si>
  <si>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</si>
  <si>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</si>
  <si>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</si>
  <si>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</si>
  <si>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</si>
  <si>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</si>
  <si>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</si>
  <si>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</si>
  <si>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</si>
  <si>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</si>
  <si>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</si>
  <si>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</si>
  <si>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</si>
  <si>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</si>
  <si>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</si>
  <si>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</si>
  <si>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</si>
  <si>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</si>
  <si>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</si>
  <si>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</si>
  <si>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</si>
  <si>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</si>
  <si>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</si>
  <si>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</si>
  <si>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</si>
  <si>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</si>
  <si>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</si>
  <si>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</si>
  <si>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</si>
  <si>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</si>
  <si>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</si>
  <si>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</si>
  <si>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</si>
  <si>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</si>
  <si>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</si>
  <si>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</si>
  <si>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</si>
  <si>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</si>
  <si>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</si>
  <si>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</si>
  <si>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</si>
  <si>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</si>
  <si>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</si>
  <si>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</si>
  <si>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</si>
  <si>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</si>
  <si>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</si>
  <si>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</si>
  <si>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</si>
  <si>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</si>
  <si>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</si>
  <si>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</si>
  <si>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</si>
  <si>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</si>
  <si>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</si>
  <si>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</si>
  <si>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</si>
  <si>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</si>
  <si>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</si>
  <si>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</si>
  <si>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</si>
  <si>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</si>
  <si>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</si>
  <si>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</si>
  <si>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</si>
  <si>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</si>
  <si>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</si>
  <si>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</si>
  <si>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</si>
  <si>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</si>
  <si>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</si>
  <si>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</si>
  <si>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</si>
  <si>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</si>
  <si>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</si>
  <si>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</si>
  <si>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</si>
  <si>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</si>
  <si>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</si>
  <si>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</si>
  <si>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</si>
  <si>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</si>
  <si>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</si>
  <si>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</si>
  <si>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</si>
  <si>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</si>
  <si>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</si>
  <si>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</si>
  <si>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</si>
  <si>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</si>
  <si>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</si>
  <si>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</si>
  <si>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</si>
  <si>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</si>
  <si>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</si>
  <si>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</si>
  <si>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</si>
  <si>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</si>
  <si>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</si>
  <si>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</si>
  <si>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</si>
  <si>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</si>
  <si>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</si>
  <si>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</si>
  <si>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</si>
  <si>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</si>
  <si>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</si>
  <si>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</si>
  <si>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</si>
  <si>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</si>
  <si>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</si>
  <si>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</si>
  <si>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</si>
  <si>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</si>
  <si>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</si>
  <si>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</si>
  <si>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</si>
  <si>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</si>
  <si>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</si>
  <si>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</si>
  <si>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</si>
  <si>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</si>
  <si>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</si>
  <si>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</si>
  <si>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</si>
  <si>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</si>
  <si>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</si>
  <si>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</si>
  <si>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</si>
  <si>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</si>
  <si>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</si>
  <si>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</si>
  <si>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</si>
  <si>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</si>
  <si>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</si>
  <si>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</si>
  <si>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</si>
  <si>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</si>
  <si>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</si>
  <si>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</si>
  <si>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</si>
  <si>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</si>
  <si>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</si>
  <si>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</si>
  <si>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</si>
  <si>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</si>
  <si>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</si>
  <si>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</si>
  <si>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</si>
  <si>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</si>
  <si>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</si>
  <si>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</si>
  <si>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</si>
  <si>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</si>
  <si>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</si>
  <si>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</si>
  <si>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</si>
  <si>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</si>
  <si>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</si>
  <si>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</si>
  <si>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</si>
  <si>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</si>
  <si>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</si>
  <si>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</si>
  <si>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</si>
  <si>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</si>
  <si>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</si>
  <si>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</si>
  <si>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</si>
  <si>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</si>
  <si>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</si>
  <si>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</si>
  <si>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</si>
  <si>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</si>
  <si>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</si>
  <si>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</si>
  <si>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</si>
  <si>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</si>
  <si>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</si>
  <si>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</si>
  <si>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</si>
  <si>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</si>
  <si>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</si>
  <si>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</si>
  <si>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</si>
  <si>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</si>
  <si>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</si>
  <si>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</si>
  <si>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</si>
  <si>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</si>
  <si>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</si>
  <si>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</si>
  <si>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</si>
  <si>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</si>
  <si>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</si>
  <si>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</si>
  <si>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</si>
  <si>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</si>
  <si>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</si>
  <si>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</si>
  <si>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</si>
  <si>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</si>
  <si>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</si>
  <si>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</si>
  <si>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</si>
  <si>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</si>
  <si>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</si>
  <si>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</si>
  <si>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</si>
  <si>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</si>
  <si>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</si>
  <si>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</si>
  <si>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</si>
  <si>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</si>
  <si>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</si>
  <si>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</si>
  <si>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</si>
  <si>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</si>
  <si>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</si>
  <si>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</si>
  <si>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</si>
  <si>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</si>
  <si>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</si>
  <si>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</si>
  <si>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</si>
  <si>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</si>
  <si>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</si>
  <si>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</si>
  <si>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</si>
  <si>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</si>
  <si>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</si>
  <si>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</si>
  <si>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</si>
  <si>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</si>
  <si>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</si>
  <si>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</si>
  <si>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</si>
  <si>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</si>
  <si>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</si>
  <si>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</si>
  <si>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</si>
  <si>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</si>
  <si>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</si>
  <si>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</si>
  <si>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</si>
  <si>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</si>
  <si>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</si>
  <si>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</si>
  <si>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</si>
  <si>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</si>
  <si>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</si>
  <si>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</si>
  <si>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</si>
  <si>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</si>
  <si>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</si>
  <si>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</si>
  <si>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</si>
  <si>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</si>
  <si>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</si>
  <si>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</si>
  <si>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</si>
  <si>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</si>
  <si>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</si>
  <si>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</si>
  <si>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</si>
  <si>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</si>
  <si>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</si>
  <si>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</si>
  <si>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</si>
  <si>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</si>
  <si>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</si>
  <si>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</si>
  <si>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</si>
  <si>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</si>
  <si>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</si>
  <si>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</si>
  <si>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</si>
  <si>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</si>
  <si>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</si>
  <si>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</si>
  <si>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</si>
  <si>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</si>
  <si>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</si>
  <si>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</si>
  <si>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</si>
  <si>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</si>
  <si>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</si>
  <si>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</si>
  <si>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</si>
  <si>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</si>
  <si>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</si>
  <si>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</si>
  <si>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</si>
  <si>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</si>
  <si>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</si>
  <si>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</si>
  <si>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</si>
  <si>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</si>
  <si>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</si>
  <si>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</si>
  <si>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</si>
  <si>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</si>
  <si>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</si>
  <si>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</si>
  <si>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</si>
  <si>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</si>
  <si>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</si>
  <si>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</si>
  <si>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</si>
  <si>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</si>
  <si>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</si>
  <si>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</si>
  <si>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</si>
  <si>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</si>
  <si>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</si>
  <si>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</si>
  <si>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</si>
  <si>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</si>
  <si>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</si>
  <si>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</si>
  <si>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</si>
  <si>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</si>
  <si>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</si>
  <si>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</si>
  <si>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</si>
  <si>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</si>
  <si>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</si>
  <si>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</si>
  <si>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</si>
  <si>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</si>
  <si>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</si>
  <si>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</si>
  <si>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</si>
  <si>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</si>
  <si>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</si>
  <si>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</si>
  <si>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</si>
  <si>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</si>
  <si>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</si>
  <si>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</si>
  <si>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</si>
  <si>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</si>
  <si>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</si>
  <si>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</si>
  <si>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</si>
  <si>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</si>
  <si>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</si>
  <si>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</si>
  <si>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</si>
  <si>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</si>
  <si>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</si>
  <si>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</si>
  <si>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</si>
  <si>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</si>
  <si>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</si>
  <si>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</si>
  <si>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</si>
  <si>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</si>
  <si>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</si>
  <si>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</si>
  <si>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</si>
  <si>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</si>
  <si>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</si>
  <si>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</si>
  <si>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</si>
  <si>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</si>
  <si>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</si>
  <si>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</si>
  <si>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</si>
  <si>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</si>
  <si>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</si>
  <si>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</si>
  <si>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</si>
  <si>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</si>
  <si>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</si>
  <si>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</si>
  <si>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</si>
  <si>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</si>
  <si>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</si>
  <si>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</si>
  <si>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</si>
  <si>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</si>
  <si>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</si>
  <si>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</si>
  <si>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</si>
  <si>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</si>
  <si>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</si>
  <si>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</si>
  <si>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</si>
  <si>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</si>
  <si>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</si>
  <si>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</si>
  <si>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</si>
  <si>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</si>
  <si>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</si>
  <si>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</si>
  <si>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</si>
  <si>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</si>
  <si>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</si>
  <si>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</si>
  <si>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</si>
  <si>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</si>
  <si>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</si>
  <si>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</si>
  <si>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</si>
  <si>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</si>
  <si>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</si>
  <si>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</si>
  <si>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</si>
  <si>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</si>
  <si>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</si>
  <si>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</si>
  <si>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</si>
  <si>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</si>
  <si>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</si>
  <si>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</si>
  <si>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</si>
  <si>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</si>
  <si>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</si>
  <si>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</si>
  <si>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</si>
  <si>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</si>
  <si>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</si>
  <si>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</si>
  <si>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</si>
  <si>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</si>
  <si>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</si>
  <si>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</si>
  <si>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</si>
  <si>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</si>
  <si>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</si>
  <si>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</si>
  <si>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</si>
  <si>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</si>
  <si>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</si>
  <si>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</si>
  <si>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</si>
  <si>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</si>
  <si>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</si>
  <si>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</si>
  <si>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</si>
  <si>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</si>
  <si>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</si>
  <si>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</si>
  <si>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</si>
  <si>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</si>
  <si>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</si>
  <si>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</si>
  <si>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</si>
  <si>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</si>
  <si>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</si>
  <si>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</si>
  <si>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</si>
  <si>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</si>
  <si>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</si>
  <si>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</si>
  <si>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</si>
  <si>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</si>
  <si>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</si>
  <si>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</si>
  <si>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</si>
  <si>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</si>
  <si>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</si>
  <si>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</si>
  <si>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</si>
  <si>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</si>
  <si>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</si>
  <si>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</si>
  <si>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</si>
  <si>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</si>
  <si>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</si>
  <si>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</si>
  <si>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</si>
  <si>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</si>
  <si>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</si>
  <si>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</si>
  <si>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</si>
  <si>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</si>
  <si>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</si>
  <si>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</si>
  <si>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</si>
  <si>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</si>
  <si>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</si>
  <si>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</si>
  <si>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</si>
  <si>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</si>
  <si>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</si>
  <si>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</si>
  <si>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</si>
  <si>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</si>
  <si>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</si>
  <si>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</si>
  <si>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</si>
  <si>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</si>
  <si>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</si>
  <si>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</si>
  <si>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</si>
  <si>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</si>
  <si>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</si>
  <si>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</si>
  <si>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</si>
  <si>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</si>
  <si>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</si>
  <si>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</si>
  <si>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</si>
  <si>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</si>
  <si>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</si>
  <si>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</si>
  <si>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</si>
  <si>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</si>
  <si>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</si>
  <si>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</si>
  <si>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</si>
  <si>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</si>
  <si>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</si>
  <si>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</si>
  <si>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</si>
  <si>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</si>
  <si>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</si>
  <si>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</si>
  <si>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</si>
  <si>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</si>
  <si>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</si>
  <si>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</si>
  <si>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</si>
  <si>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</si>
  <si>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</si>
  <si>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</si>
  <si>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</si>
  <si>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</si>
  <si>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</si>
  <si>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</si>
  <si>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</si>
  <si>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</si>
  <si>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</si>
  <si>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</si>
  <si>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</si>
  <si>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</si>
  <si>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</si>
  <si>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</si>
  <si>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</si>
  <si>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</si>
  <si>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</si>
  <si>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</si>
  <si>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</si>
  <si>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</si>
  <si>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</si>
  <si>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</si>
  <si>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</si>
  <si>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</si>
  <si>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</si>
  <si>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</si>
  <si>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</si>
  <si>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</si>
  <si>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</si>
  <si>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</si>
  <si>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</si>
  <si>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</si>
  <si>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</si>
  <si>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</si>
  <si>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</si>
  <si>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</si>
  <si>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</si>
  <si>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</si>
  <si>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</si>
  <si>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</si>
  <si>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</si>
  <si>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</si>
  <si>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</si>
  <si>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</si>
  <si>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</si>
  <si>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</si>
  <si>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</si>
  <si>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</si>
  <si>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</si>
  <si>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</si>
  <si>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</si>
  <si>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</si>
  <si>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</si>
  <si>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</si>
  <si>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</si>
  <si>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</si>
  <si>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</si>
  <si>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</si>
  <si>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</si>
  <si>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</si>
  <si>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</si>
  <si>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</si>
  <si>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</si>
  <si>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</si>
  <si>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</si>
  <si>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</si>
  <si>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</si>
  <si>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</si>
  <si>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</si>
  <si>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</si>
  <si>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</si>
  <si>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</si>
  <si>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</si>
  <si>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</si>
  <si>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</si>
  <si>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</si>
  <si>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</si>
  <si>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</si>
  <si>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</si>
  <si>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</si>
  <si>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</si>
  <si>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</si>
  <si>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</si>
  <si>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</si>
  <si>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</si>
  <si>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</si>
  <si>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</si>
  <si>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</si>
  <si>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</si>
  <si>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</si>
  <si>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</si>
  <si>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</si>
  <si>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</si>
  <si>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</si>
  <si>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</si>
  <si>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</si>
  <si>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</si>
  <si>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</si>
  <si>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</si>
  <si>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</si>
  <si>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</si>
  <si>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</si>
  <si>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</si>
  <si>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</si>
  <si>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</si>
  <si>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</si>
  <si>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</si>
  <si>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</si>
  <si>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</si>
  <si>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</si>
  <si>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</si>
  <si>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</si>
  <si>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</si>
  <si>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</si>
  <si>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</si>
  <si>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</si>
  <si>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</si>
  <si>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</si>
  <si>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</si>
  <si>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</si>
  <si>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</si>
  <si>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</si>
  <si>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</si>
  <si>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</si>
  <si>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</si>
  <si>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</si>
  <si>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</si>
  <si>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</si>
  <si>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</si>
  <si>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</si>
  <si>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</si>
  <si>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</si>
  <si>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</si>
  <si>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</si>
  <si>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</si>
  <si>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</si>
  <si>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</si>
  <si>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</si>
  <si>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</si>
  <si>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</si>
  <si>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</si>
  <si>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</si>
  <si>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</si>
  <si>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</si>
  <si>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</si>
  <si>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</si>
  <si>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</si>
  <si>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</si>
  <si>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</si>
  <si>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</si>
  <si>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</si>
  <si>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</si>
  <si>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</si>
  <si>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</si>
  <si>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</si>
  <si>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</si>
  <si>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</si>
  <si>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</si>
  <si>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</si>
  <si>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</si>
  <si>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</si>
  <si>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</si>
  <si>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</si>
  <si>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</si>
  <si>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</si>
  <si>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</si>
  <si>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</si>
  <si>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</si>
  <si>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</si>
  <si>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</si>
  <si>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</si>
  <si>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</si>
  <si>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</si>
  <si>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</si>
  <si>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</si>
  <si>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</si>
  <si>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</si>
  <si>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</si>
  <si>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</si>
  <si>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</si>
  <si>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</si>
  <si>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</si>
  <si>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</si>
  <si>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</si>
  <si>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</si>
  <si>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</si>
  <si>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</si>
  <si>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</si>
  <si>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</si>
  <si>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</si>
  <si>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</si>
  <si>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</si>
  <si>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</si>
  <si>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</si>
  <si>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</si>
  <si>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</si>
  <si>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</si>
  <si>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</si>
  <si>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</si>
  <si>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</si>
  <si>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</si>
  <si>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</si>
  <si>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</si>
  <si>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</si>
  <si>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</si>
  <si>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</si>
  <si>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</si>
  <si>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</si>
  <si>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</si>
  <si>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</si>
  <si>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</si>
  <si>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</si>
  <si>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</si>
  <si>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</si>
  <si>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</si>
  <si>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</si>
  <si>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</si>
  <si>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</si>
  <si>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</si>
  <si>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</si>
  <si>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</si>
  <si>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</si>
  <si>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</si>
  <si>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</si>
  <si>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</si>
  <si>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</si>
  <si>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</si>
  <si>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</si>
  <si>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</si>
  <si>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</si>
  <si>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</si>
  <si>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</si>
  <si>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</si>
  <si>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</si>
  <si>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</si>
  <si>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</si>
  <si>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</si>
  <si>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</si>
  <si>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</si>
  <si>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</si>
  <si>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</si>
  <si>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</si>
  <si>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</si>
  <si>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</si>
  <si>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</si>
  <si>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</si>
  <si>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</si>
  <si>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</si>
  <si>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</si>
  <si>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</si>
  <si>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</si>
  <si>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</si>
  <si>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</si>
  <si>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</si>
  <si>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</si>
  <si>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</si>
  <si>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</si>
  <si>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</si>
  <si>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</si>
  <si>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</si>
  <si>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</si>
  <si>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</si>
  <si>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</si>
  <si>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</si>
  <si>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</si>
  <si>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</si>
  <si>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</si>
  <si>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</si>
  <si>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</si>
  <si>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</si>
  <si>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</si>
  <si>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</si>
  <si>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</si>
  <si>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</si>
  <si>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</si>
  <si>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</si>
  <si>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</si>
  <si>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</si>
  <si>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</si>
  <si>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</si>
  <si>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</si>
  <si>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</si>
  <si>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</si>
  <si>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</si>
  <si>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</si>
  <si>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</si>
  <si>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</si>
  <si>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</si>
  <si>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</si>
  <si>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</si>
  <si>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</si>
  <si>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</si>
  <si>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</si>
  <si>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</si>
  <si>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</si>
  <si>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</si>
  <si>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</si>
  <si>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</si>
  <si>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</si>
  <si>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</si>
  <si>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</si>
  <si>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</si>
  <si>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</si>
  <si>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</si>
  <si>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</si>
  <si>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</si>
  <si>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</si>
  <si>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</si>
  <si>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</si>
  <si>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</si>
  <si>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</si>
  <si>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</si>
  <si>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</si>
  <si>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</si>
  <si>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</si>
  <si>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</si>
  <si>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</si>
  <si>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</si>
  <si>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</si>
  <si>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</si>
  <si>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</si>
  <si>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</si>
  <si>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</si>
  <si>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</si>
  <si>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</si>
  <si>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</si>
  <si>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</si>
  <si>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</si>
  <si>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</si>
  <si>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</si>
  <si>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</si>
  <si>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</si>
  <si>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</si>
  <si>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</si>
  <si>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</si>
  <si>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</si>
  <si>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</si>
  <si>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</si>
  <si>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</si>
  <si>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</si>
  <si>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</si>
  <si>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</si>
  <si>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</si>
  <si>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</si>
  <si>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</si>
  <si>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</si>
  <si>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</si>
  <si>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</si>
  <si>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</si>
  <si>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</si>
  <si>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</si>
  <si>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</si>
  <si>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</si>
  <si>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</si>
  <si>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</si>
  <si>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</si>
  <si>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</si>
  <si>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</si>
  <si>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</si>
  <si>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</si>
  <si>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</si>
  <si>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</si>
  <si>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</si>
  <si>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</si>
  <si>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</si>
  <si>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</si>
  <si>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</si>
  <si>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</si>
  <si>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</si>
  <si>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</si>
  <si>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</si>
  <si>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</si>
  <si>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</si>
  <si>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</si>
  <si>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</si>
  <si>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</si>
  <si>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</si>
  <si>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</si>
  <si>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</si>
  <si>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</si>
  <si>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</si>
  <si>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</si>
  <si>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</si>
  <si>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</si>
  <si>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</si>
  <si>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</si>
  <si>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</si>
  <si>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</si>
  <si>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</si>
  <si>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</si>
  <si>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</si>
  <si>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</si>
  <si>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</si>
  <si>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</si>
  <si>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</si>
  <si>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</si>
  <si>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</si>
  <si>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</si>
  <si>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</si>
  <si>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</si>
  <si>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</si>
  <si>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</si>
  <si>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</si>
  <si>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</si>
  <si>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</si>
  <si>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</si>
  <si>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</si>
  <si>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</si>
  <si>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</si>
  <si>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</si>
  <si>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</si>
  <si>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</si>
  <si>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</si>
  <si>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</si>
  <si>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</si>
  <si>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</si>
  <si>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</si>
  <si>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</si>
  <si>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</si>
  <si>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</si>
  <si>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</si>
  <si>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</si>
  <si>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</si>
  <si>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</si>
  <si>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</si>
  <si>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</si>
  <si>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</si>
  <si>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</si>
  <si>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</si>
  <si>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</si>
  <si>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</si>
  <si>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</si>
  <si>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</si>
  <si>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</si>
  <si>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</si>
  <si>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</si>
  <si>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</si>
  <si>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</si>
  <si>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</si>
  <si>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</si>
  <si>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</si>
  <si>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</si>
  <si>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</si>
  <si>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</si>
  <si>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</si>
  <si>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</si>
  <si>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</si>
  <si>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</si>
  <si>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</si>
  <si>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</si>
  <si>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</si>
  <si>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</si>
  <si>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</si>
  <si>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</si>
  <si>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</si>
  <si>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</si>
  <si>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</si>
  <si>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</si>
  <si>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</si>
  <si>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</si>
  <si>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</si>
  <si>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</si>
  <si>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</si>
  <si>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</si>
  <si>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</si>
  <si>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</si>
  <si>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</si>
  <si>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</si>
  <si>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</si>
  <si>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</si>
  <si>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</si>
  <si>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</si>
  <si>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</si>
  <si>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</si>
  <si>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</si>
  <si>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</si>
  <si>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</si>
  <si>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</si>
  <si>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</si>
  <si>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</si>
  <si>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</si>
  <si>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</si>
  <si>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</si>
  <si>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</si>
  <si>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</si>
  <si>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</si>
  <si>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</si>
  <si>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</si>
  <si>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</si>
  <si>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</si>
  <si>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</si>
  <si>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</si>
  <si>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</si>
  <si>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</si>
  <si>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</si>
  <si>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</si>
  <si>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</si>
  <si>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</si>
  <si>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</si>
  <si>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</si>
  <si>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</si>
  <si>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</si>
  <si>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</si>
  <si>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</si>
  <si>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</si>
  <si>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</si>
  <si>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</si>
  <si>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</si>
  <si>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</si>
  <si>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</si>
  <si>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</si>
  <si>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</si>
  <si>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</si>
  <si>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</si>
  <si>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</si>
  <si>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</si>
  <si>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</si>
  <si>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</si>
  <si>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</si>
  <si>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</si>
  <si>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</si>
  <si>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</si>
  <si>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</si>
  <si>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</si>
  <si>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</si>
  <si>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</si>
  <si>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</si>
  <si>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</si>
  <si>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</si>
  <si>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</si>
  <si>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</si>
  <si>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</si>
  <si>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</si>
  <si>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</si>
  <si>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</si>
  <si>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</si>
  <si>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</si>
  <si>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</si>
  <si>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</si>
  <si>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</si>
  <si>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</si>
  <si>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</si>
  <si>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</si>
  <si>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</si>
  <si>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</si>
  <si>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</si>
  <si>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</si>
  <si>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</si>
  <si>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</si>
  <si>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</si>
  <si>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</si>
  <si>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</si>
  <si>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</si>
  <si>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</si>
  <si>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</si>
  <si>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</si>
  <si>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</si>
  <si>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</si>
  <si>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</si>
  <si>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</si>
  <si>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</si>
  <si>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</si>
  <si>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</si>
  <si>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</si>
  <si>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</si>
  <si>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</si>
  <si>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</si>
  <si>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</si>
  <si>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</si>
  <si>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</si>
  <si>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</si>
  <si>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</si>
  <si>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</si>
  <si>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</si>
  <si>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</si>
  <si>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</si>
  <si>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</si>
  <si>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</si>
  <si>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</si>
  <si>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</si>
  <si>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</si>
  <si>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</si>
  <si>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</si>
  <si>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</si>
  <si>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</si>
  <si>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</si>
  <si>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</si>
  <si>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</si>
  <si>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</si>
  <si>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</si>
  <si>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</si>
  <si>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</si>
  <si>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</si>
  <si>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</si>
  <si>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</si>
  <si>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</si>
  <si>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</si>
  <si>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</si>
  <si>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</si>
  <si>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</si>
  <si>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</si>
  <si>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</si>
  <si>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</si>
  <si>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</si>
  <si>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</si>
  <si>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</si>
  <si>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</si>
  <si>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</si>
  <si>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</si>
  <si>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</si>
  <si>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</si>
  <si>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</si>
  <si>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</si>
  <si>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</si>
  <si>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</si>
  <si>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</si>
  <si>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</si>
  <si>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</si>
  <si>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</si>
  <si>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</si>
  <si>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</si>
  <si>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</si>
  <si>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</si>
  <si>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</si>
  <si>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</si>
  <si>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</si>
  <si>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</si>
  <si>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</si>
  <si>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</si>
  <si>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</si>
  <si>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</si>
  <si>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</si>
  <si>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</si>
  <si>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</si>
  <si>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</si>
  <si>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</si>
  <si>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</si>
  <si>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</si>
  <si>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</si>
  <si>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</si>
  <si>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</si>
  <si>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</si>
  <si>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</si>
  <si>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</si>
  <si>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</si>
  <si>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</si>
  <si>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</si>
  <si>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</si>
  <si>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</si>
  <si>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</si>
  <si>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</si>
  <si>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</si>
  <si>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</si>
  <si>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</si>
  <si>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</si>
  <si>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</si>
  <si>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</si>
  <si>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</si>
  <si>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</si>
  <si>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</si>
  <si>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</si>
  <si>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</si>
  <si>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</si>
  <si>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</si>
  <si>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</si>
  <si>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</si>
  <si>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</si>
  <si>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</si>
  <si>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</si>
  <si>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</si>
  <si>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</si>
  <si>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</si>
  <si>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</si>
  <si>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</si>
  <si>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</si>
  <si>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</si>
  <si>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</si>
  <si>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</si>
  <si>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</si>
  <si>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</si>
  <si>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</si>
  <si>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</si>
  <si>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</si>
  <si>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</si>
  <si>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</si>
  <si>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</si>
  <si>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</si>
  <si>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</si>
  <si>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</si>
  <si>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</si>
  <si>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</si>
  <si>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</si>
  <si>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</si>
  <si>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</si>
  <si>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</si>
  <si>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</si>
  <si>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</si>
  <si>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</si>
  <si>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</si>
  <si>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</si>
  <si>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</si>
  <si>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</si>
  <si>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</si>
  <si>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</si>
  <si>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</si>
  <si>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</si>
  <si>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</si>
  <si>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</si>
  <si>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</si>
  <si>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</si>
  <si>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</si>
  <si>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</si>
  <si>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</si>
  <si>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</si>
  <si>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</si>
  <si>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</si>
  <si>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</si>
  <si>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</si>
  <si>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</si>
  <si>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</si>
  <si>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</si>
  <si>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</si>
  <si>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</si>
  <si>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</si>
  <si>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</si>
  <si>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</si>
  <si>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</si>
  <si>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</si>
  <si>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</si>
  <si>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</si>
  <si>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</si>
  <si>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</si>
  <si>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</si>
  <si>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</si>
  <si>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</si>
  <si>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</si>
  <si>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</si>
  <si>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</si>
  <si>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</si>
  <si>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</si>
  <si>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</si>
  <si>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</si>
  <si>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</si>
  <si>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</si>
  <si>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</si>
  <si>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</si>
  <si>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</si>
  <si>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</si>
  <si>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</si>
  <si>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</si>
  <si>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</si>
  <si>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</si>
  <si>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</si>
  <si>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</si>
  <si>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</si>
  <si>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</si>
  <si>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</si>
  <si>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</si>
  <si>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</si>
  <si>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</si>
  <si>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</si>
  <si>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</si>
  <si>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</si>
  <si>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</si>
  <si>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</si>
  <si>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</si>
  <si>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</si>
  <si>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</si>
  <si>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</si>
  <si>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</si>
  <si>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</si>
  <si>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</si>
  <si>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</si>
  <si>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</si>
  <si>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</si>
  <si>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</si>
  <si>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</si>
  <si>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</si>
  <si>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</si>
  <si>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</si>
  <si>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</si>
  <si>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</si>
  <si>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</si>
  <si>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</si>
  <si>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</si>
  <si>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</si>
  <si>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</si>
  <si>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</si>
  <si>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</si>
  <si>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</si>
  <si>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</si>
  <si>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</si>
  <si>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</si>
  <si>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</si>
  <si>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</si>
  <si>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</si>
  <si>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</si>
  <si>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</si>
  <si>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</si>
  <si>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</si>
  <si>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</si>
  <si>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</si>
  <si>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</si>
  <si>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</si>
  <si>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</si>
  <si>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</si>
  <si>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</si>
  <si>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</si>
  <si>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</si>
  <si>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</si>
  <si>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</si>
  <si>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</si>
  <si>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</si>
  <si>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</si>
  <si>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</si>
  <si>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</si>
  <si>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</si>
  <si>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</si>
  <si>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</si>
  <si>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</si>
  <si>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</si>
  <si>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</si>
  <si>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</si>
  <si>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</si>
  <si>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</si>
  <si>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</si>
  <si>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</si>
  <si>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</si>
  <si>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</si>
  <si>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</si>
  <si>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</si>
  <si>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</si>
  <si>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</si>
  <si>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</si>
  <si>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</si>
  <si>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</si>
  <si>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</si>
  <si>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</si>
  <si>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</si>
  <si>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</si>
  <si>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</si>
  <si>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</si>
  <si>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</si>
  <si>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</si>
  <si>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</si>
  <si>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</si>
  <si>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</si>
  <si>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</si>
  <si>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</si>
  <si>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</si>
  <si>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</si>
  <si>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</si>
  <si>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</si>
  <si>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</si>
  <si>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</si>
  <si>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</si>
  <si>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</si>
  <si>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</si>
  <si>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</si>
  <si>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</si>
  <si>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</si>
  <si>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</si>
  <si>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</si>
  <si>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</si>
  <si>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</si>
  <si>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</si>
  <si>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</si>
  <si>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</si>
  <si>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</si>
  <si>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</si>
  <si>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</si>
  <si>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</si>
  <si>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</si>
  <si>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</si>
  <si>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</si>
  <si>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</si>
  <si>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</si>
  <si>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</si>
  <si>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</si>
  <si>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</si>
  <si>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</si>
  <si>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</si>
  <si>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</si>
  <si>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</si>
  <si>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</si>
  <si>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</si>
  <si>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</si>
  <si>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</si>
  <si>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</si>
  <si>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</si>
  <si>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</si>
  <si>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</si>
  <si>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</si>
  <si>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</si>
  <si>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</si>
  <si>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</si>
  <si>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</si>
  <si>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</si>
  <si>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</si>
  <si>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</si>
  <si>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</si>
  <si>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2023PA-012</t>
  </si>
  <si>
    <t>Talon Development LLC</t>
  </si>
  <si>
    <t>Devin Blankenship</t>
  </si>
  <si>
    <t>Partner</t>
  </si>
  <si>
    <t>Devin@TalonDevelopmentLLC.com</t>
  </si>
  <si>
    <t>Kenneth Blankenship</t>
  </si>
  <si>
    <t>Ken@TalonDevelopmentLLC.com</t>
  </si>
  <si>
    <t>Helix</t>
  </si>
  <si>
    <t>Unincorporated County</t>
  </si>
  <si>
    <t>FNB South</t>
  </si>
  <si>
    <t>Direct Tax Credits</t>
  </si>
  <si>
    <t>Bellwether Enterprise</t>
  </si>
  <si>
    <t>Amortizing</t>
  </si>
  <si>
    <t>Contruction Materials Testing</t>
  </si>
  <si>
    <t>NPDES Testing</t>
  </si>
  <si>
    <t>Site Lighting</t>
  </si>
  <si>
    <t>Radon Design and Testing</t>
  </si>
  <si>
    <t>included above</t>
  </si>
  <si>
    <t>Taxes and Insurance Escrow</t>
  </si>
  <si>
    <t>State Boost</t>
  </si>
  <si>
    <t>Multifamily projects in areas qualifying for 2+ Stable Communities pts</t>
  </si>
  <si>
    <t>Cost for 3rd party Construction Materials Testing not within the General Contractor's scope of work</t>
  </si>
  <si>
    <t>100% of the work is related to construction work.</t>
  </si>
  <si>
    <t>Cost for 3rd party NPDES (Erosion Control) Testing not within the General Contractor's scope of work</t>
  </si>
  <si>
    <t>Fee required for construction of site lighting.</t>
  </si>
  <si>
    <t>Radon Testing to be performed at construction complettion as requirement of investor</t>
  </si>
  <si>
    <t>First Year tax and insurance reserve is a requirement of our investors.</t>
  </si>
  <si>
    <t>This item is not in basis.</t>
  </si>
  <si>
    <t>DCA - HUD Utility Model</t>
  </si>
  <si>
    <t>High-Rise Elevator</t>
  </si>
  <si>
    <t>Electric Heat Pump</t>
  </si>
  <si>
    <t>40% of Units at 60% of AMI</t>
  </si>
  <si>
    <t>Other Admin</t>
  </si>
  <si>
    <t>Novogradic</t>
  </si>
  <si>
    <t>Applicant used the NOI approach for multifamily properties and consulted with Direct Tax Credits. Direct Tax Credits has experience as a syndicator of LHITC credits in Clayton County, and used the current millage rate and historical data to provide a suggested estimate on taxes for this project. This rate was cross-checked with several other LIHTC properties within Clayton County. The backup for our tax estimate is located in Project Feasibility Folder.
Insurance estimate was provided by our provider based off project information and can also be found in the Feasibility Folder</t>
  </si>
  <si>
    <t>The debt service payments do not deviate from the amounts shown in the Sources of Funds tab. The development meets Threshold Feasibility requirements.</t>
  </si>
  <si>
    <t xml:space="preserve">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Clayton County.
Construction Interest is calculated based on having to stabilize and hold the property for six months before conversion. A Draw Schedule is provided in Folder 02 Feasibility.
Project selected State Basis Boost above (line 165) due to project qualifying for 2+ pts under Stable Communities, however we are not requesting a State Basis Boost in the basis calculation. 
 </t>
  </si>
  <si>
    <t>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Clayton County.</t>
  </si>
  <si>
    <t>Real Property Research Group</t>
  </si>
  <si>
    <t>There is no identity of interest between the buyer and seller, therefore no appraisal was required for the 9% application.</t>
  </si>
  <si>
    <t>The overall market has a very healthy occupancy of 98.2% and an overall project capture rate of 1.3% which is below DCA standards. All surveyed LIHTC properties within the market currently have waiting lists, and no projects have been awarded in Unincorporated Clayton County for over 15 years.</t>
  </si>
  <si>
    <t>Purchase Contract</t>
  </si>
  <si>
    <t>Hannah Assets LLC</t>
  </si>
  <si>
    <t xml:space="preserve">The site is zoned RM, which permits Multifamily Apartments as explained in the letter from Tiras Winn Petrea. </t>
  </si>
  <si>
    <t>Georgia Power</t>
  </si>
  <si>
    <t>The proposed development will be 100% electic, no gas.</t>
  </si>
  <si>
    <t>Clayton County Water Authority</t>
  </si>
  <si>
    <t>Water and Sewer are located at the site per the letter from Clayton County and potential tie in locations are depicted on the CSDP. No easements, commitments, or improvements are needed.</t>
  </si>
  <si>
    <t>Room</t>
  </si>
  <si>
    <t>Covered Porch</t>
  </si>
  <si>
    <t>On-site laundry</t>
  </si>
  <si>
    <t>None of the proposed amenities require a waiver.</t>
  </si>
  <si>
    <t>The CSDP and supplemental documents meet the requirements in the 2023 Architectual Manual.</t>
  </si>
  <si>
    <t>Agree</t>
  </si>
  <si>
    <t>NGBS Scoring worksheet and summary are provided in the applicaiton. The applicant has completed the Building Sustainability training.</t>
  </si>
  <si>
    <t>Yes - see Comment</t>
  </si>
  <si>
    <t>This section is NA</t>
  </si>
  <si>
    <t>No legal opinions were required. This section is NA</t>
  </si>
  <si>
    <t>The applicant agrees to submit a marketing plan for AFFH</t>
  </si>
  <si>
    <t>The development represents a proper utilization of the Housing Credit Program to provide high quality units within an area that has a need for affordable housing.</t>
  </si>
  <si>
    <t>MARTA</t>
  </si>
  <si>
    <t>schedinfo@itsmarta.com</t>
  </si>
  <si>
    <t>https://www.itsmarta.com/bus-schedules.aspx</t>
  </si>
  <si>
    <t>Lake Ridge Elementary School</t>
  </si>
  <si>
    <t>Kendrick Middle School</t>
  </si>
  <si>
    <t>Riverdale High School</t>
  </si>
  <si>
    <t>N/a</t>
  </si>
  <si>
    <t>Project is achieving 3 points under VII. Quality Education Areas, Section B by having all grades K-12 achieving BTO designations in 2018.</t>
  </si>
  <si>
    <t>This Section is NA</t>
  </si>
  <si>
    <t>Above 60th Percentile</t>
  </si>
  <si>
    <t>At or Below 60th Percentile</t>
  </si>
  <si>
    <t>Above 60th Percentile/Below 80th Percentile</t>
  </si>
  <si>
    <t>The project is located in the local government boundary of Clayton County, outside of any city's jurisdiction. There have been no 9% allocations in unincorporated Clayton County within the last 15 years. The DCA projects map is included in the Previous Projects folder.</t>
  </si>
  <si>
    <t>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t>
  </si>
  <si>
    <t>The project is not in the Atlanta Metro. This section is NA.</t>
  </si>
  <si>
    <t>The development will comply with all standards mentioned above as well as all other requirements in the 2023 Architectual Manual</t>
  </si>
  <si>
    <t>Other Census Tract</t>
  </si>
  <si>
    <t>13-063-0405.27</t>
  </si>
  <si>
    <t>Columbia Residential will identify the needs of the community and provide social and recreational programming as well as on-site enrichment classes, while monitoing resident participation. Additionally, Columbia Residential is CORES certified.</t>
  </si>
  <si>
    <t>Project is claiming points in QAP section XVII Minority and Women-Owner Business Engagement under sub-section A. The applicant has a policy that is shared with it's General Contracting team to advertise to potential MBE/WBE businesses, and will submit a report detailing our efforts to achieve this commitment with the Final Allocation Application.</t>
  </si>
  <si>
    <t>The HUD Utility Schedule Model is an allowed utility allowance for a Tax Credit Building with no HOME per Threshold Section II, Part A, Subsection 7 Operating Utility Allowance (UA). All documentation used in the calculation has been submitted in Folder 02 Feasibility.</t>
  </si>
  <si>
    <t>The application is Family Tenancy</t>
  </si>
  <si>
    <t>Current owner acquired site through the Quiet Title process. Copy of the Final Order showing site control in favor of Hannah Asses, LLC and a confirmation letter from our legal consultant are included in the Site Control section of this application. Site control is through 5/31/24 with three (3) 90-day extensions. Grove Creek Ventures, LLC has assigned this P&amp;S agreement to Helix Family I, LP. This assignment agreement in included in the "Site Control" folder of this application.</t>
  </si>
  <si>
    <t xml:space="preserve">Site access is legally accessible from HWY 138, a paved public road. A secondary fire entrance is included onto Scott Rd. </t>
  </si>
  <si>
    <t>The development will comply with all standards mentioned above and will contract with a DCA qualified accessibility consultant during design and construction.</t>
  </si>
  <si>
    <t>The applicant was deemed qualified in 2022 and was deemed qualified during the 2023 Pre-Application process. That qualification letter is included in Folder 19 of this application.</t>
  </si>
  <si>
    <t>33.551070</t>
  </si>
  <si>
    <t>The development is located within a 0.4 mile walking distance to an established transit HUB that has 3 routes and runs Monday-Friday. The stop is labeled as stop #212419 per MARTAs interactive map and contains bus routes #89, #191, and #198. This service is provided to the general public, and is therefore available to all residents. The MARTA link above takes the user to the route search page allowing them to locate the stops along each route and see service times. Fares are a separate link for all MARTA services, and a PDF of this page is provided in 2702HelxWebPgCosts along with route maps for each route in the transit HUB and a Map from site to the transit HUB.</t>
  </si>
  <si>
    <t>Terracon</t>
  </si>
  <si>
    <t xml:space="preserve">The development has fourteen (15) desirable activities within 1.5 miles from the site entrance (per Google Maps). Six (6) of these activities are within .5 miles walking distance from the proposed site entrance. There are no undersirables near the site. Little Giant Farmers Market is located 0.3 miles from the site. </t>
  </si>
  <si>
    <t>The site is currently undeveloped wooded land, no displacement will occur. This section is NA.</t>
  </si>
  <si>
    <t>0.4</t>
  </si>
  <si>
    <t>The development is within .25 miles of census tract 13-063-0405.27, which is below the 5% poverty level for Metro sites and qualifies our application for 4 points. Additionally, Employment rate is above the 60th percentile for 2021 data, qulaifying for and additional 1 point. 
Justification for Health Insurance Coverage and Median Income points. Applicant is claiming points using 2019 dataset. This year is not available in the drop downs menu's above. Please see below;
2023_qap_qa_instructions_and_responses_040523 question number 021023_02_1067719476 states;
“Regarding Scoring Section - Stable Communities, B. Local Health and Economic Indicators: Can we use the scoring data that was available on November 1, 2022, or MUST we use the data that was released on December 20, 2022?” 
Answer states; “In the case of (Scoring) Stable Communities, Applicants may use either the scoring data that was available on November 1, 2022 or the data that was released on December 20, 2022. Both of these datasets are included in the “DCA Health and Economic Indicators Table" available at the link to the right.” 
The 2018, 2019, and 2020 dataset was available on November 1, 2022. The 2021 dataset was added on December 20, 2022, while the 2018 and 2019 was removed. Since the 2019 dataset was available on November 1, 2022, points are being claimed per the DCA response stated above and 2023 QAP - Documentation and Justifications, Section B.
The site's census tract number did not change in the 2020 update.
These datasets and the site's census tract information are included in Folder 31 of this application, along with all other required minimum documentation.</t>
  </si>
  <si>
    <t>Applicant is achieving 3 points in this section per XXIV. Integrated Supportive Housing - Sections A and D. 
Kenneth Blankenship, a member of the certifying GP, maintains 811 contracts with DCA at multiple properties, totaling 39 units since 2012. Ken and his team have been willing to take 811 residents at all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t>
  </si>
  <si>
    <t xml:space="preserve">Wetlands: The information reviewed as part of this assessment did not indicate any wetlands on the subject property. The site reconnaissance identified a potential area of wetlands, which was subsequently delineated, with 0.02 acres of wetlands identified in the northwest corner of the site. See section 5.1 for details. 
State Waters: The information reviewed as part of this assessment did not indicate any state waters on the subject property. See section 5.2 for details. 
Floodplain/Floodways: The information reviewed as part of this assessment indicated that the subject property is not located within a 100 or 500 year floodplain. See section 5.3 for details. 
Endangered Species: Based on the information reviewed as part of this assessment the proposed project should have no effect on the federal or state listed species. See section 5.4 for details. 
Noise: Based on Terracon’s review of potential noise sources and calculations performed for the subject property following HUD’s noise guidelines, noise issues are not considered to be a concern at the subject property. See section 5.5 for details. 
Radon: According to the radon map of Georgia found at EPAs website, the subject property is located within radon zone 2 (medium potential) of Georgia. Per HUD’s Multifamily Accelerated Processing (MAP) Guide, new construction should utilize radon resistant construction techniques. See section 5.6 for details. 
Asbestos containing materials: Deemed “not applicable” due to undeveloped nature of the property. See section 5.7 for details. 
Lead (lead-based paint, lead in water, lead in soil): Lead-based paint and lead in water deemed “not applicable” due to undeveloped nature of the property. Based on the construction date of o a historic residential structure that was previously located on the subject property, lead in soil is an environmental concern. Laboratory analysis determined that lead is present in the soil; however, the observed concentrations were below the applicable Georgia EPD release notification threshold. No additional work is currently deemed necessary to address this concern. See section 5.8 for details. 
Water Leaks/Mold/Fungi/Microbial Growth: Deemed “not applicable” due to undeveloped nature of the property. See section 5.9 for details.
Vapor Intrusion: The results of the vapor encroachment screening indicated that vapor encroachment condition does not likely exist for the subject property. See section 5.10 for details of the vapor encroachment screening. 
Polychlorinated Biphenyls (PCBs): No potentially PCB containing equipment was observed on or adjacent to the properties during the site reconnaissance, nor was any such equipment determined to be historically located on the subject property. See section 5.11 for details. 
Historic Preservation: As part of this Phase I ESA, Terracon contracted with a historic preservation consultant, to prepare a “Cultural Resources Records Review and Reconnaissance” for the subject property. The report indicated there is one previously recorded archaeological site within the physical Area of Potential Effect (APE); this site is a precontact lithic scatter recommended not eligible for listing </t>
  </si>
  <si>
    <t>The Evniornmental Professional did not find anything on the site that would prohibit the development of multifamily apartments. Please note that the EP used ASTM 1527 -21, which is the most updated standards for this report. Project will have post radon testing done when construction is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</si>
</sst>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168" fontId="9" fillId="10" borderId="83" xfId="37" quotePrefix="1" applyNumberFormat="1" applyFont="1" applyFill="1" applyBorder="1" applyAlignment="1" applyProtection="1">
      <alignment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quotePrefix="1"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Helix</v>
      </c>
    </row>
    <row r="3" spans="1:6" ht="15" customHeight="1">
      <c r="A3" s="666" t="str">
        <f>CONCATENATE('Part I-Project Identification'!F26,", ", 'Part I-Project Identification'!J26," County")</f>
        <v>Riverdale, Clayton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H27" sqref="H27"/>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Helix, Riverdale, Clayton County</v>
      </c>
      <c r="B2" s="3555"/>
      <c r="C2" s="3555"/>
      <c r="D2" s="3555"/>
      <c r="E2" s="3555"/>
      <c r="F2" s="3555"/>
      <c r="G2" s="3555"/>
      <c r="H2" s="3555"/>
      <c r="I2" s="3555"/>
      <c r="J2" s="3555"/>
      <c r="K2" s="3555"/>
      <c r="L2" s="3555"/>
      <c r="M2" s="3555"/>
      <c r="N2" s="3555"/>
      <c r="O2" s="3555"/>
      <c r="P2" s="3555"/>
      <c r="Q2" s="3556"/>
      <c r="T2" s="1427" t="str">
        <f>A2</f>
        <v>PART FOUR - PROJECTED REVENUES &amp; EXPENSES  -  2023-0 Helix, Riverdale, Clayton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562" t="str">
        <f>'Part I-Project Identification'!$O$28</f>
        <v>Atlanta-Sandy Springs-Marietta</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3203</v>
      </c>
      <c r="R5" s="830"/>
      <c r="S5" s="337"/>
      <c r="T5" s="337"/>
      <c r="U5" s="337"/>
      <c r="W5" s="338"/>
      <c r="X5" s="3628" t="s">
        <v>3681</v>
      </c>
      <c r="Y5" s="3628" t="s">
        <v>3682</v>
      </c>
      <c r="Z5" s="3628" t="s">
        <v>3683</v>
      </c>
      <c r="AA5" s="3628" t="s">
        <v>3684</v>
      </c>
      <c r="AB5" s="3628" t="s">
        <v>3685</v>
      </c>
      <c r="AC5" s="3628" t="s">
        <v>3686</v>
      </c>
      <c r="AD5" s="3628" t="s">
        <v>3687</v>
      </c>
      <c r="AE5" s="3628" t="s">
        <v>3688</v>
      </c>
      <c r="AF5" s="3628" t="s">
        <v>3689</v>
      </c>
      <c r="AG5" s="3628" t="s">
        <v>3690</v>
      </c>
      <c r="AH5" s="3628" t="s">
        <v>861</v>
      </c>
      <c r="AI5" s="3628" t="s">
        <v>705</v>
      </c>
      <c r="AJ5" s="3628" t="s">
        <v>706</v>
      </c>
      <c r="AK5" s="3628" t="s">
        <v>707</v>
      </c>
      <c r="AL5" s="3628" t="s">
        <v>708</v>
      </c>
      <c r="AM5" s="3628" t="s">
        <v>862</v>
      </c>
      <c r="AN5" s="3628" t="s">
        <v>2131</v>
      </c>
      <c r="AO5" s="3628" t="s">
        <v>2132</v>
      </c>
      <c r="AP5" s="3628" t="s">
        <v>2133</v>
      </c>
      <c r="AQ5" s="3628" t="s">
        <v>2134</v>
      </c>
      <c r="AR5" s="3628" t="s">
        <v>3692</v>
      </c>
      <c r="AS5" s="3628" t="s">
        <v>3693</v>
      </c>
      <c r="AT5" s="3628" t="s">
        <v>3694</v>
      </c>
      <c r="AU5" s="3628" t="s">
        <v>3695</v>
      </c>
      <c r="AV5" s="3628" t="s">
        <v>3691</v>
      </c>
      <c r="AW5" s="3628" t="s">
        <v>863</v>
      </c>
      <c r="AX5" s="3628" t="s">
        <v>2135</v>
      </c>
      <c r="AY5" s="3628" t="s">
        <v>2136</v>
      </c>
      <c r="AZ5" s="3628" t="s">
        <v>2137</v>
      </c>
      <c r="BA5" s="3628" t="s">
        <v>2138</v>
      </c>
      <c r="BB5" s="3628" t="s">
        <v>3696</v>
      </c>
      <c r="BC5" s="3628" t="s">
        <v>3697</v>
      </c>
      <c r="BD5" s="3628" t="s">
        <v>3698</v>
      </c>
      <c r="BE5" s="3628" t="s">
        <v>3699</v>
      </c>
      <c r="BF5" s="3628" t="s">
        <v>3700</v>
      </c>
      <c r="BG5" s="3628" t="s">
        <v>123</v>
      </c>
      <c r="BH5" s="3628" t="s">
        <v>2139</v>
      </c>
      <c r="BI5" s="3628" t="s">
        <v>2140</v>
      </c>
      <c r="BJ5" s="3628" t="s">
        <v>2141</v>
      </c>
      <c r="BK5" s="3628" t="s">
        <v>1080</v>
      </c>
      <c r="BL5" s="3628" t="s">
        <v>3701</v>
      </c>
      <c r="BM5" s="3628" t="s">
        <v>3702</v>
      </c>
      <c r="BN5" s="3628" t="s">
        <v>3703</v>
      </c>
      <c r="BO5" s="3628" t="s">
        <v>3704</v>
      </c>
      <c r="BP5" s="3628" t="s">
        <v>3705</v>
      </c>
      <c r="BQ5" s="3628" t="s">
        <v>517</v>
      </c>
      <c r="BR5" s="3628" t="s">
        <v>518</v>
      </c>
      <c r="BS5" s="3628" t="s">
        <v>535</v>
      </c>
      <c r="BT5" s="3628" t="s">
        <v>536</v>
      </c>
      <c r="BU5" s="3628" t="s">
        <v>537</v>
      </c>
      <c r="BV5" s="3628" t="s">
        <v>3706</v>
      </c>
      <c r="BW5" s="3628" t="s">
        <v>3707</v>
      </c>
      <c r="BX5" s="3628" t="s">
        <v>3708</v>
      </c>
      <c r="BY5" s="3628" t="s">
        <v>3709</v>
      </c>
      <c r="BZ5" s="3628" t="s">
        <v>3710</v>
      </c>
      <c r="CA5" s="3628" t="s">
        <v>538</v>
      </c>
      <c r="CB5" s="3628" t="s">
        <v>539</v>
      </c>
      <c r="CC5" s="3628" t="s">
        <v>540</v>
      </c>
      <c r="CD5" s="3628" t="s">
        <v>541</v>
      </c>
      <c r="CE5" s="3628" t="s">
        <v>542</v>
      </c>
      <c r="CF5" s="3628" t="s">
        <v>543</v>
      </c>
      <c r="CG5" s="3628" t="s">
        <v>544</v>
      </c>
      <c r="CH5" s="3628" t="s">
        <v>872</v>
      </c>
      <c r="CI5" s="3628" t="s">
        <v>873</v>
      </c>
      <c r="CJ5" s="3628" t="s">
        <v>874</v>
      </c>
      <c r="CK5" s="3628" t="s">
        <v>3716</v>
      </c>
      <c r="CL5" s="3628" t="s">
        <v>3717</v>
      </c>
      <c r="CM5" s="3628" t="s">
        <v>3718</v>
      </c>
      <c r="CN5" s="3628" t="s">
        <v>3719</v>
      </c>
      <c r="CO5" s="3628" t="s">
        <v>3720</v>
      </c>
      <c r="CP5" s="3628" t="s">
        <v>3711</v>
      </c>
      <c r="CQ5" s="3628" t="s">
        <v>3712</v>
      </c>
      <c r="CR5" s="3628" t="s">
        <v>3713</v>
      </c>
      <c r="CS5" s="3628" t="s">
        <v>3714</v>
      </c>
      <c r="CT5" s="3628" t="s">
        <v>3715</v>
      </c>
      <c r="CU5" s="3628" t="s">
        <v>3721</v>
      </c>
      <c r="CV5" s="3628" t="s">
        <v>3722</v>
      </c>
      <c r="CW5" s="3628" t="s">
        <v>3723</v>
      </c>
      <c r="CX5" s="3628" t="s">
        <v>3724</v>
      </c>
      <c r="CY5" s="3628" t="s">
        <v>3725</v>
      </c>
      <c r="CZ5" s="3628" t="s">
        <v>466</v>
      </c>
      <c r="DA5" s="3628" t="s">
        <v>467</v>
      </c>
      <c r="DB5" s="3628" t="s">
        <v>468</v>
      </c>
      <c r="DC5" s="3628" t="s">
        <v>469</v>
      </c>
      <c r="DD5" s="3628" t="s">
        <v>470</v>
      </c>
      <c r="DE5" s="3628" t="s">
        <v>3726</v>
      </c>
      <c r="DF5" s="3628" t="s">
        <v>3727</v>
      </c>
      <c r="DG5" s="3628" t="s">
        <v>3728</v>
      </c>
      <c r="DH5" s="3628" t="s">
        <v>3729</v>
      </c>
      <c r="DI5" s="3628" t="s">
        <v>3730</v>
      </c>
      <c r="DJ5" s="3628" t="s">
        <v>822</v>
      </c>
      <c r="DK5" s="3628" t="s">
        <v>823</v>
      </c>
      <c r="DL5" s="3628" t="s">
        <v>824</v>
      </c>
      <c r="DM5" s="3628" t="s">
        <v>825</v>
      </c>
      <c r="DN5" s="3628" t="s">
        <v>826</v>
      </c>
      <c r="DO5" s="3628" t="s">
        <v>827</v>
      </c>
      <c r="DP5" s="3628" t="s">
        <v>828</v>
      </c>
      <c r="DQ5" s="3628" t="s">
        <v>829</v>
      </c>
      <c r="DR5" s="3628" t="s">
        <v>830</v>
      </c>
      <c r="DS5" s="3628" t="s">
        <v>831</v>
      </c>
      <c r="DT5" s="3628" t="s">
        <v>3731</v>
      </c>
      <c r="DU5" s="3628" t="s">
        <v>3732</v>
      </c>
      <c r="DV5" s="3628" t="s">
        <v>3733</v>
      </c>
      <c r="DW5" s="3628" t="s">
        <v>3734</v>
      </c>
      <c r="DX5" s="3628" t="s">
        <v>3735</v>
      </c>
      <c r="DY5" s="3628" t="s">
        <v>3736</v>
      </c>
      <c r="DZ5" s="3628" t="s">
        <v>3737</v>
      </c>
      <c r="EA5" s="3628" t="s">
        <v>3738</v>
      </c>
      <c r="EB5" s="3628" t="s">
        <v>3739</v>
      </c>
      <c r="EC5" s="3628" t="s">
        <v>3740</v>
      </c>
      <c r="ED5" s="3628" t="s">
        <v>2235</v>
      </c>
      <c r="EE5" s="3628" t="s">
        <v>2236</v>
      </c>
      <c r="EF5" s="3628" t="s">
        <v>2237</v>
      </c>
      <c r="EG5" s="3628" t="s">
        <v>2238</v>
      </c>
      <c r="EH5" s="3628" t="s">
        <v>2239</v>
      </c>
      <c r="EI5" s="3628" t="s">
        <v>3741</v>
      </c>
      <c r="EJ5" s="3628" t="s">
        <v>3742</v>
      </c>
      <c r="EK5" s="3628" t="s">
        <v>3743</v>
      </c>
      <c r="EL5" s="3628" t="s">
        <v>3744</v>
      </c>
      <c r="EM5" s="3628" t="s">
        <v>3745</v>
      </c>
      <c r="EN5" s="3628" t="s">
        <v>3746</v>
      </c>
      <c r="EO5" s="3628" t="s">
        <v>3747</v>
      </c>
      <c r="EP5" s="3628" t="s">
        <v>3748</v>
      </c>
      <c r="EQ5" s="3628" t="s">
        <v>3749</v>
      </c>
      <c r="ER5" s="3628" t="s">
        <v>3750</v>
      </c>
      <c r="ES5" s="3628" t="s">
        <v>111</v>
      </c>
      <c r="ET5" s="3628" t="s">
        <v>1083</v>
      </c>
      <c r="EU5" s="3628" t="s">
        <v>1084</v>
      </c>
      <c r="EV5" s="3628" t="s">
        <v>1139</v>
      </c>
      <c r="EW5" s="3628" t="s">
        <v>1140</v>
      </c>
      <c r="EX5" s="3628" t="s">
        <v>126</v>
      </c>
      <c r="EY5" s="3628" t="s">
        <v>1141</v>
      </c>
      <c r="EZ5" s="3628" t="s">
        <v>1142</v>
      </c>
      <c r="FA5" s="3628" t="s">
        <v>1143</v>
      </c>
      <c r="FB5" s="3628" t="s">
        <v>1144</v>
      </c>
      <c r="FC5" s="3628" t="s">
        <v>3751</v>
      </c>
      <c r="FD5" s="3628" t="s">
        <v>3752</v>
      </c>
      <c r="FE5" s="3628" t="s">
        <v>3753</v>
      </c>
      <c r="FF5" s="3628" t="s">
        <v>3754</v>
      </c>
      <c r="FG5" s="3628" t="s">
        <v>3755</v>
      </c>
      <c r="FH5" s="3628" t="s">
        <v>125</v>
      </c>
      <c r="FI5" s="3628" t="s">
        <v>853</v>
      </c>
      <c r="FJ5" s="3628" t="s">
        <v>854</v>
      </c>
      <c r="FK5" s="3628" t="s">
        <v>855</v>
      </c>
      <c r="FL5" s="3628" t="s">
        <v>856</v>
      </c>
      <c r="FM5" s="3628" t="s">
        <v>3756</v>
      </c>
      <c r="FN5" s="3628" t="s">
        <v>3757</v>
      </c>
      <c r="FO5" s="3628" t="s">
        <v>3758</v>
      </c>
      <c r="FP5" s="3628" t="s">
        <v>3759</v>
      </c>
      <c r="FQ5" s="3628" t="s">
        <v>3760</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6094</v>
      </c>
      <c r="D6" s="1515"/>
      <c r="E6" s="1515"/>
      <c r="F6" s="1515"/>
      <c r="G6" s="1211" t="s">
        <v>194</v>
      </c>
      <c r="H6" s="3557" t="s">
        <v>6096</v>
      </c>
      <c r="I6" s="3558"/>
      <c r="J6" s="3558"/>
      <c r="K6" s="686" t="s">
        <v>3135</v>
      </c>
      <c r="L6" s="3666" t="str">
        <f>'Part I-Project Identification'!$A$6</f>
        <v>April 2023</v>
      </c>
      <c r="M6" s="3666"/>
      <c r="N6" s="3666"/>
      <c r="O6" s="1717" t="s">
        <v>6076</v>
      </c>
      <c r="P6" s="1505">
        <v>96400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6280</v>
      </c>
      <c r="MQ6" s="3628" t="s">
        <v>6281</v>
      </c>
      <c r="MR6" s="3628" t="s">
        <v>6282</v>
      </c>
      <c r="MS6" s="3628" t="s">
        <v>6283</v>
      </c>
      <c r="MT6" s="3628"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6095</v>
      </c>
      <c r="E7" s="4"/>
      <c r="G7" s="1246" t="s">
        <v>2652</v>
      </c>
      <c r="I7" s="3646" t="s">
        <v>4070</v>
      </c>
      <c r="J7" s="686" t="s">
        <v>742</v>
      </c>
      <c r="K7" s="686" t="s">
        <v>3182</v>
      </c>
      <c r="L7" s="3666"/>
      <c r="M7" s="3666"/>
      <c r="N7" s="3666"/>
      <c r="O7" s="1718" t="s">
        <v>6075</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3763</v>
      </c>
      <c r="C8" s="1"/>
      <c r="E8" s="1"/>
      <c r="F8" s="1"/>
      <c r="I8" s="3646"/>
      <c r="J8" s="686" t="s">
        <v>743</v>
      </c>
      <c r="K8" s="686" t="s">
        <v>3183</v>
      </c>
      <c r="L8" s="667"/>
      <c r="M8" s="667"/>
      <c r="N8" s="1716" t="s">
        <v>6479</v>
      </c>
      <c r="O8" s="3648" t="s">
        <v>7068</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3764</v>
      </c>
      <c r="C9" s="686" t="s">
        <v>165</v>
      </c>
      <c r="D9" s="686" t="s">
        <v>510</v>
      </c>
      <c r="E9" s="686" t="s">
        <v>1382</v>
      </c>
      <c r="F9" s="686" t="s">
        <v>1382</v>
      </c>
      <c r="G9" s="3646" t="s">
        <v>6091</v>
      </c>
      <c r="H9" s="830" t="s">
        <v>3301</v>
      </c>
      <c r="I9" s="3646"/>
      <c r="J9" s="3642" t="s">
        <v>6085</v>
      </c>
      <c r="K9" s="686" t="s">
        <v>2217</v>
      </c>
      <c r="L9" s="3638" t="s">
        <v>139</v>
      </c>
      <c r="M9" s="3639"/>
      <c r="N9" s="686" t="s">
        <v>2184</v>
      </c>
      <c r="O9" s="686" t="s">
        <v>6482</v>
      </c>
      <c r="P9" s="3644" t="s">
        <v>6244</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6285</v>
      </c>
      <c r="IZ9" s="3628" t="s">
        <v>6285</v>
      </c>
      <c r="JA9" s="3628" t="s">
        <v>6285</v>
      </c>
      <c r="JB9" s="3628" t="s">
        <v>6285</v>
      </c>
      <c r="JC9" s="3628" t="s">
        <v>6285</v>
      </c>
      <c r="JD9" s="3628" t="s">
        <v>6286</v>
      </c>
      <c r="JE9" s="3628" t="s">
        <v>6286</v>
      </c>
      <c r="JF9" s="3628" t="s">
        <v>6286</v>
      </c>
      <c r="JG9" s="3628" t="s">
        <v>6286</v>
      </c>
      <c r="JH9" s="3628" t="s">
        <v>6286</v>
      </c>
      <c r="JI9" s="3628" t="s">
        <v>6288</v>
      </c>
      <c r="JJ9" s="3628" t="s">
        <v>6288</v>
      </c>
      <c r="JK9" s="3628" t="s">
        <v>6288</v>
      </c>
      <c r="JL9" s="3628" t="s">
        <v>6288</v>
      </c>
      <c r="JM9" s="3628" t="s">
        <v>6288</v>
      </c>
      <c r="JN9" s="3628" t="s">
        <v>6289</v>
      </c>
      <c r="JO9" s="3628" t="s">
        <v>6289</v>
      </c>
      <c r="JP9" s="3628" t="s">
        <v>6289</v>
      </c>
      <c r="JQ9" s="3628" t="s">
        <v>6289</v>
      </c>
      <c r="JR9" s="3628" t="s">
        <v>6289</v>
      </c>
      <c r="JS9" s="3628" t="s">
        <v>6290</v>
      </c>
      <c r="JT9" s="3628" t="s">
        <v>6290</v>
      </c>
      <c r="JU9" s="3628" t="s">
        <v>6290</v>
      </c>
      <c r="JV9" s="3628" t="s">
        <v>6290</v>
      </c>
      <c r="JW9" s="3628" t="s">
        <v>6290</v>
      </c>
      <c r="JX9" s="3628" t="s">
        <v>6483</v>
      </c>
      <c r="JY9" s="3628" t="s">
        <v>6483</v>
      </c>
      <c r="JZ9" s="3628" t="s">
        <v>6483</v>
      </c>
      <c r="KA9" s="3628" t="s">
        <v>6483</v>
      </c>
      <c r="KB9" s="3628" t="s">
        <v>6483</v>
      </c>
      <c r="KC9" s="3628" t="s">
        <v>6648</v>
      </c>
      <c r="KD9" s="3628" t="s">
        <v>6648</v>
      </c>
      <c r="KE9" s="3628" t="s">
        <v>6648</v>
      </c>
      <c r="KF9" s="3628" t="s">
        <v>6648</v>
      </c>
      <c r="KG9" s="3628" t="s">
        <v>6648</v>
      </c>
      <c r="KH9" s="3628" t="s">
        <v>6649</v>
      </c>
      <c r="KI9" s="3628" t="s">
        <v>6649</v>
      </c>
      <c r="KJ9" s="3628" t="s">
        <v>6649</v>
      </c>
      <c r="KK9" s="3628" t="s">
        <v>6649</v>
      </c>
      <c r="KL9" s="3628" t="s">
        <v>6649</v>
      </c>
      <c r="KM9" s="3628" t="s">
        <v>6292</v>
      </c>
      <c r="KN9" s="3628" t="s">
        <v>6292</v>
      </c>
      <c r="KO9" s="3628" t="s">
        <v>6292</v>
      </c>
      <c r="KP9" s="3628" t="s">
        <v>6292</v>
      </c>
      <c r="KQ9" s="3628" t="s">
        <v>6292</v>
      </c>
      <c r="KR9" s="3628" t="s">
        <v>6484</v>
      </c>
      <c r="KS9" s="3628" t="s">
        <v>6484</v>
      </c>
      <c r="KT9" s="3628" t="s">
        <v>6484</v>
      </c>
      <c r="KU9" s="3628" t="s">
        <v>6484</v>
      </c>
      <c r="KV9" s="3628" t="s">
        <v>6484</v>
      </c>
      <c r="KW9" s="3628" t="s">
        <v>6650</v>
      </c>
      <c r="KX9" s="3628" t="s">
        <v>6650</v>
      </c>
      <c r="KY9" s="3628" t="s">
        <v>6650</v>
      </c>
      <c r="KZ9" s="3628" t="s">
        <v>6650</v>
      </c>
      <c r="LA9" s="3628" t="s">
        <v>6650</v>
      </c>
      <c r="LB9" s="3628" t="s">
        <v>6651</v>
      </c>
      <c r="LC9" s="3628" t="s">
        <v>6651</v>
      </c>
      <c r="LD9" s="3628" t="s">
        <v>6651</v>
      </c>
      <c r="LE9" s="3628" t="s">
        <v>6651</v>
      </c>
      <c r="LF9" s="3628" t="s">
        <v>6651</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3931</v>
      </c>
      <c r="C10" s="686" t="s">
        <v>164</v>
      </c>
      <c r="D10" s="686" t="s">
        <v>166</v>
      </c>
      <c r="E10" s="686" t="s">
        <v>1383</v>
      </c>
      <c r="F10" s="686" t="s">
        <v>1203</v>
      </c>
      <c r="G10" s="3647"/>
      <c r="H10" s="686" t="s">
        <v>6092</v>
      </c>
      <c r="I10" s="3647"/>
      <c r="J10" s="3643"/>
      <c r="K10" s="358" t="s">
        <v>334</v>
      </c>
      <c r="L10" s="686" t="s">
        <v>1432</v>
      </c>
      <c r="M10" s="686" t="s">
        <v>504</v>
      </c>
      <c r="N10" s="686" t="s">
        <v>1382</v>
      </c>
      <c r="O10" s="686" t="s">
        <v>6496</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v>1</v>
      </c>
      <c r="D16" s="1751">
        <v>1</v>
      </c>
      <c r="E16" s="133">
        <v>4</v>
      </c>
      <c r="F16" s="133">
        <v>668</v>
      </c>
      <c r="G16" s="133" t="s">
        <v>2813</v>
      </c>
      <c r="H16" s="133">
        <v>1400</v>
      </c>
      <c r="I16" s="133">
        <v>0</v>
      </c>
      <c r="J16" s="1430">
        <v>0</v>
      </c>
      <c r="K16" s="644"/>
      <c r="L16" s="461">
        <f t="shared" si="1"/>
        <v>1400</v>
      </c>
      <c r="M16" s="461">
        <f t="shared" si="2"/>
        <v>5600</v>
      </c>
      <c r="N16" s="695" t="s">
        <v>2652</v>
      </c>
      <c r="O16" s="1683" t="s">
        <v>7064</v>
      </c>
      <c r="P16" s="695" t="s">
        <v>2120</v>
      </c>
      <c r="Q16" s="134" t="s">
        <v>2652</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f t="shared" si="39"/>
        <v>4</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f t="shared" si="154"/>
        <v>2672</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f t="shared" si="174"/>
        <v>4</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f t="shared" si="214"/>
        <v>4</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f t="shared" si="284"/>
        <v>4</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4</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v>2</v>
      </c>
      <c r="D17" s="1752">
        <v>2</v>
      </c>
      <c r="E17" s="1086">
        <v>6</v>
      </c>
      <c r="F17" s="1086">
        <v>933</v>
      </c>
      <c r="G17" s="1086" t="s">
        <v>2813</v>
      </c>
      <c r="H17" s="1086">
        <v>1600</v>
      </c>
      <c r="I17" s="1086">
        <v>0</v>
      </c>
      <c r="J17" s="1431">
        <v>0</v>
      </c>
      <c r="K17" s="1105"/>
      <c r="L17" s="1106">
        <f t="shared" si="1"/>
        <v>1600</v>
      </c>
      <c r="M17" s="1106">
        <f t="shared" si="2"/>
        <v>9600</v>
      </c>
      <c r="N17" s="1107" t="s">
        <v>2652</v>
      </c>
      <c r="O17" s="1684" t="s">
        <v>7064</v>
      </c>
      <c r="P17" s="1107" t="s">
        <v>2120</v>
      </c>
      <c r="Q17" s="1108" t="s">
        <v>2652</v>
      </c>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f t="shared" si="40"/>
        <v>6</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f t="shared" si="155"/>
        <v>5598</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f t="shared" si="175"/>
        <v>6</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f t="shared" si="215"/>
        <v>6</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f t="shared" si="285"/>
        <v>6</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6</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5</v>
      </c>
      <c r="F18" s="1084">
        <v>668</v>
      </c>
      <c r="G18" s="1084">
        <v>904</v>
      </c>
      <c r="H18" s="1084">
        <v>904</v>
      </c>
      <c r="I18" s="1084">
        <v>0</v>
      </c>
      <c r="J18" s="1100">
        <f>IF(C18="",0,HLOOKUP(C18,'Part IV-Utility Allowances'!$I$11:$M$22,12))</f>
        <v>60</v>
      </c>
      <c r="K18" s="1101"/>
      <c r="L18" s="1102">
        <f t="shared" si="1"/>
        <v>844</v>
      </c>
      <c r="M18" s="1102">
        <f t="shared" si="2"/>
        <v>4220</v>
      </c>
      <c r="N18" s="1103" t="s">
        <v>2652</v>
      </c>
      <c r="O18" s="1685" t="s">
        <v>7064</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3340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f t="shared" si="284"/>
        <v>5</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5</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2</v>
      </c>
      <c r="E19" s="133">
        <v>12</v>
      </c>
      <c r="F19" s="133">
        <v>933</v>
      </c>
      <c r="G19" s="133">
        <v>1085</v>
      </c>
      <c r="H19" s="133">
        <v>1085</v>
      </c>
      <c r="I19" s="133">
        <v>0</v>
      </c>
      <c r="J19" s="756">
        <f>IF(C19="",0,HLOOKUP(C19,'Part IV-Utility Allowances'!$I$11:$M$22,12))</f>
        <v>81</v>
      </c>
      <c r="K19" s="644"/>
      <c r="L19" s="461">
        <f t="shared" si="1"/>
        <v>1004</v>
      </c>
      <c r="M19" s="461">
        <f t="shared" si="2"/>
        <v>12048</v>
      </c>
      <c r="N19" s="695" t="s">
        <v>2652</v>
      </c>
      <c r="O19" s="1683" t="s">
        <v>7064</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12</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11196</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12</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12</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f t="shared" si="285"/>
        <v>12</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12</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60</v>
      </c>
      <c r="C20" s="132">
        <v>1</v>
      </c>
      <c r="D20" s="1751">
        <v>1</v>
      </c>
      <c r="E20" s="133">
        <v>13</v>
      </c>
      <c r="F20" s="133">
        <v>668</v>
      </c>
      <c r="G20" s="133">
        <v>1085</v>
      </c>
      <c r="H20" s="133">
        <v>1085</v>
      </c>
      <c r="I20" s="133">
        <v>0</v>
      </c>
      <c r="J20" s="756">
        <f>IF(C20="",0,HLOOKUP(C20,'Part IV-Utility Allowances'!$I$11:$M$22,12))</f>
        <v>60</v>
      </c>
      <c r="K20" s="644"/>
      <c r="L20" s="461">
        <f t="shared" si="1"/>
        <v>1025</v>
      </c>
      <c r="M20" s="461">
        <f t="shared" si="2"/>
        <v>13325</v>
      </c>
      <c r="N20" s="695" t="s">
        <v>2652</v>
      </c>
      <c r="O20" s="1683" t="s">
        <v>7064</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13</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8684</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13</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13</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f t="shared" si="284"/>
        <v>13</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13</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32">
        <v>2</v>
      </c>
      <c r="D21" s="1751">
        <v>2</v>
      </c>
      <c r="E21" s="133">
        <v>50</v>
      </c>
      <c r="F21" s="133">
        <v>933</v>
      </c>
      <c r="G21" s="133">
        <v>1302</v>
      </c>
      <c r="H21" s="133">
        <v>1302</v>
      </c>
      <c r="I21" s="133">
        <v>0</v>
      </c>
      <c r="J21" s="756">
        <f>IF(C21="",0,HLOOKUP(C21,'Part IV-Utility Allowances'!$I$11:$M$22,12))</f>
        <v>81</v>
      </c>
      <c r="K21" s="644"/>
      <c r="L21" s="461">
        <f t="shared" si="1"/>
        <v>1221</v>
      </c>
      <c r="M21" s="461">
        <f t="shared" si="2"/>
        <v>61050</v>
      </c>
      <c r="N21" s="695" t="s">
        <v>2652</v>
      </c>
      <c r="O21" s="1683" t="s">
        <v>7064</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50</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46650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50</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50</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f t="shared" si="285"/>
        <v>50</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50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32" t="s">
        <v>3768</v>
      </c>
      <c r="C49" s="3633"/>
      <c r="D49" s="107" t="s">
        <v>954</v>
      </c>
      <c r="E49" s="1113">
        <f>SUM(E11:E48)</f>
        <v>90</v>
      </c>
      <c r="F49" s="1111">
        <f>(E11*F11+E12*F12+E13*F13+E14*F14+E15*F15+E16*F16+E17*F17+E18*F18+E19*F19+E20*F20+E21*F21+E22*F22+E23*F23+E24*F24+E25*F25+E26*F26+E27*F27+E28*F28+E29*F29+E30*F30+E31*F31+E32*F32+E33*F33+E34*F34+E35*F35+E36*F36+E37*F37+E38*F38+E39*F39+E40*F40+E41*F41+E42*F42+E43*F43+E44*F44+E45*F45+E46*F46+E47*F47+E48*F48)</f>
        <v>78140</v>
      </c>
      <c r="H49" s="3658" t="s">
        <v>3765</v>
      </c>
      <c r="I49" s="1114" t="s">
        <v>3766</v>
      </c>
      <c r="J49" s="1115" t="str">
        <f>IF(P67=0,"",IF(SUM(P58:P62)/P67&gt;=0.4,"Pass","Fail"))</f>
        <v>Pass</v>
      </c>
      <c r="K49" s="448"/>
      <c r="L49" s="699" t="s">
        <v>1225</v>
      </c>
      <c r="M49" s="94">
        <f>SUM(M11:M48)</f>
        <v>105843</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13</v>
      </c>
      <c r="AJ49" s="1749">
        <f t="shared" si="339"/>
        <v>50</v>
      </c>
      <c r="AK49" s="1749">
        <f t="shared" si="339"/>
        <v>0</v>
      </c>
      <c r="AL49" s="1749">
        <f t="shared" si="339"/>
        <v>0</v>
      </c>
      <c r="AM49" s="1749">
        <f>SUM(AM11:AM48)</f>
        <v>0</v>
      </c>
      <c r="AN49" s="1749">
        <f>SUM(AN11:AN48)</f>
        <v>5</v>
      </c>
      <c r="AO49" s="1749">
        <f>SUM(AO11:AO48)</f>
        <v>12</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4</v>
      </c>
      <c r="BI49" s="1749">
        <f t="shared" si="338"/>
        <v>6</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8684</v>
      </c>
      <c r="EU49" s="1749">
        <f t="shared" si="342"/>
        <v>46650</v>
      </c>
      <c r="EV49" s="1749">
        <f t="shared" si="342"/>
        <v>0</v>
      </c>
      <c r="EW49" s="1749">
        <f t="shared" si="342"/>
        <v>0</v>
      </c>
      <c r="EX49" s="1749">
        <f t="shared" si="338"/>
        <v>0</v>
      </c>
      <c r="EY49" s="1749">
        <f t="shared" si="338"/>
        <v>3340</v>
      </c>
      <c r="EZ49" s="1749">
        <f t="shared" si="338"/>
        <v>11196</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2672</v>
      </c>
      <c r="FT49" s="1749">
        <f t="shared" si="343"/>
        <v>5598</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18</v>
      </c>
      <c r="GI49" s="1749">
        <f t="shared" si="343"/>
        <v>62</v>
      </c>
      <c r="GJ49" s="1749">
        <f t="shared" si="343"/>
        <v>0</v>
      </c>
      <c r="GK49" s="1749">
        <f t="shared" si="343"/>
        <v>0</v>
      </c>
      <c r="GL49" s="1749">
        <f t="shared" si="343"/>
        <v>0</v>
      </c>
      <c r="GM49" s="1749">
        <f t="shared" si="343"/>
        <v>4</v>
      </c>
      <c r="GN49" s="1749">
        <f t="shared" si="343"/>
        <v>6</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22</v>
      </c>
      <c r="IB49" s="1749">
        <f t="shared" si="344"/>
        <v>68</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22</v>
      </c>
      <c r="KT49" s="1749">
        <f>SUM(KT11:KT48)</f>
        <v>68</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22</v>
      </c>
      <c r="MM49" s="1749">
        <f t="shared" si="346"/>
        <v>68</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57.875</v>
      </c>
      <c r="C50" s="3657"/>
      <c r="D50" s="119" t="s">
        <v>3675</v>
      </c>
      <c r="E50" s="1110">
        <f>SUM(E18:E48)</f>
        <v>80</v>
      </c>
      <c r="F50" s="1112">
        <f>(E18*F18+E19*F19+E20*F20+E21*F21+E22*F22+E23*F23+E24*F24+E25*F25+E26*F26+E27*F27+E28*F28+E29*F29+E30*F30+E31*F31+E32*F32+E33*F33+E34*F34+E35*F35+E36*F36+E37*F37+E38*F38+E39*F39+E40*F40+E41*F41+E42*F42+E43*F43+E44*F44+E45*F45+E46*F46+E47*F47+E48*F48)</f>
        <v>69870</v>
      </c>
      <c r="H50" s="3659"/>
      <c r="I50" s="1116" t="s">
        <v>3767</v>
      </c>
      <c r="J50" s="1117" t="str">
        <f>IF(P67=0,"",IF(SUM(P59:P62)/P67&gt;=0.2,"Pass","Fail"))</f>
        <v>Fail</v>
      </c>
      <c r="K50" s="448"/>
      <c r="L50" s="107" t="s">
        <v>757</v>
      </c>
      <c r="M50" s="94">
        <f>M49*12</f>
        <v>1270116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662" t="s">
        <v>7066</v>
      </c>
      <c r="P53" s="3663"/>
      <c r="S53" s="3634" t="str">
        <f>B53</f>
        <v>UNIT SUMMARY</v>
      </c>
      <c r="T53" s="3634"/>
      <c r="U53" s="3634"/>
      <c r="V53" s="3634"/>
      <c r="AY53" s="359"/>
      <c r="BD53" s="359"/>
      <c r="LO53" s="361"/>
      <c r="MD53" s="357"/>
    </row>
    <row r="54" spans="1:381" ht="14.25" customHeight="1">
      <c r="A54" s="10"/>
      <c r="B54" s="10"/>
      <c r="K54" s="144" t="s">
        <v>6643</v>
      </c>
      <c r="O54" s="3660" t="s">
        <v>3204</v>
      </c>
      <c r="P54" s="3661"/>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4075</v>
      </c>
      <c r="B56" s="3553"/>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53"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3677</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13</v>
      </c>
      <c r="M58" s="1128">
        <f>AJ49</f>
        <v>50</v>
      </c>
      <c r="N58" s="1128">
        <f>AK49</f>
        <v>0</v>
      </c>
      <c r="O58" s="1129">
        <f>AL49</f>
        <v>0</v>
      </c>
      <c r="P58" s="745">
        <f t="shared" si="347"/>
        <v>63</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5</v>
      </c>
      <c r="M59" s="1149">
        <f>AO49</f>
        <v>12</v>
      </c>
      <c r="N59" s="1149">
        <f>AP49</f>
        <v>0</v>
      </c>
      <c r="O59" s="1150">
        <f>AQ49</f>
        <v>0</v>
      </c>
      <c r="P59" s="466">
        <f t="shared" si="347"/>
        <v>17</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3678</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3679</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3680</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3762</v>
      </c>
      <c r="D63" s="1"/>
      <c r="E63" s="1"/>
      <c r="F63" s="1"/>
      <c r="G63" s="62"/>
      <c r="H63" s="68"/>
      <c r="I63" s="44"/>
      <c r="J63" s="62"/>
      <c r="K63" s="1092">
        <f>SUM(K56:K62)</f>
        <v>0</v>
      </c>
      <c r="L63" s="1092">
        <f>SUM(L56:L62)</f>
        <v>18</v>
      </c>
      <c r="M63" s="1092">
        <f>SUM(M56:M62)</f>
        <v>62</v>
      </c>
      <c r="N63" s="1092">
        <f>SUM(N56:N62)</f>
        <v>0</v>
      </c>
      <c r="O63" s="1092">
        <f>SUM(O56:O62)</f>
        <v>0</v>
      </c>
      <c r="P63" s="1092">
        <f t="shared" si="347"/>
        <v>80</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4</v>
      </c>
      <c r="M64" s="746">
        <f>BI49</f>
        <v>6</v>
      </c>
      <c r="N64" s="746">
        <f>BJ49</f>
        <v>0</v>
      </c>
      <c r="O64" s="746">
        <f>BK49</f>
        <v>0</v>
      </c>
      <c r="P64" s="746">
        <f t="shared" si="347"/>
        <v>10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22</v>
      </c>
      <c r="M65" s="1099">
        <f>SUM(M63:M64)</f>
        <v>68</v>
      </c>
      <c r="N65" s="1099">
        <f>SUM(N63:N64)</f>
        <v>0</v>
      </c>
      <c r="O65" s="1099">
        <f>SUM(O63:O64)</f>
        <v>0</v>
      </c>
      <c r="P65" s="1099">
        <f t="shared" si="347"/>
        <v>90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22</v>
      </c>
      <c r="M67" s="1091">
        <f>SUM(M65:M66)</f>
        <v>68</v>
      </c>
      <c r="N67" s="1091">
        <f>SUM(N65:N66)</f>
        <v>0</v>
      </c>
      <c r="O67" s="1091">
        <f>SUM(O65:O66)</f>
        <v>0</v>
      </c>
      <c r="P67" s="1091">
        <f t="shared" si="347"/>
        <v>90</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3771</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4068</v>
      </c>
      <c r="E73" s="3665"/>
      <c r="F73" s="3665"/>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65"/>
      <c r="E76" s="3665"/>
      <c r="F76" s="3665"/>
      <c r="G76" s="6"/>
      <c r="H76" s="81" t="s">
        <v>1081</v>
      </c>
      <c r="I76" s="29"/>
      <c r="J76" s="1"/>
      <c r="K76" s="1436" t="str">
        <f t="shared" ref="K76:P76" si="352">IF(OR(K58=0,K67=0),"",K58/K67)</f>
        <v/>
      </c>
      <c r="L76" s="1437">
        <f t="shared" si="352"/>
        <v>0.59090909090909094</v>
      </c>
      <c r="M76" s="1437">
        <f t="shared" si="352"/>
        <v>0.73529411764705888</v>
      </c>
      <c r="N76" s="1437" t="str">
        <f t="shared" si="352"/>
        <v/>
      </c>
      <c r="O76" s="1437" t="str">
        <f t="shared" si="352"/>
        <v/>
      </c>
      <c r="P76" s="1438">
        <f t="shared" si="352"/>
        <v>0.7</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6486</v>
      </c>
      <c r="I77" s="29"/>
      <c r="J77" s="1"/>
      <c r="K77" s="1509" t="str">
        <f>IF(OR(K58=0,P76="",K67=0),"",P76*K67)</f>
        <v/>
      </c>
      <c r="L77" s="1509">
        <f>IF(OR(L58=0,P76="",L67=0),"",P76*L67)</f>
        <v>15.399999999999999</v>
      </c>
      <c r="M77" s="1509">
        <f>IF(OR(M58=0,P76="",M67=0),"",P76*M67)</f>
        <v>47.599999999999994</v>
      </c>
      <c r="N77" s="1509" t="str">
        <f>IF(OR(N58=0,P76="",N67=0),"",P76*N67)</f>
        <v/>
      </c>
      <c r="O77" s="1509" t="str">
        <f>IF(OR(O58=0,P76="",O67=0),"",P76*O67)</f>
        <v/>
      </c>
      <c r="P77" s="1510">
        <f>IF(OR(P76="",P67=0),"",P76*P67)</f>
        <v>62.999999999999993</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6487</v>
      </c>
      <c r="I78" s="1409"/>
      <c r="J78" s="1"/>
      <c r="K78" s="1511" t="str">
        <f t="shared" ref="K78:P78" si="353">IF(OR(K77="",K58=0),"", K58-K77)</f>
        <v/>
      </c>
      <c r="L78" s="1511">
        <f t="shared" si="353"/>
        <v>-2.3999999999999986</v>
      </c>
      <c r="M78" s="1511">
        <f t="shared" si="353"/>
        <v>2.4000000000000057</v>
      </c>
      <c r="N78" s="1511" t="str">
        <f t="shared" si="353"/>
        <v/>
      </c>
      <c r="O78" s="1511" t="str">
        <f t="shared" si="353"/>
        <v/>
      </c>
      <c r="P78" s="1511">
        <f t="shared" si="353"/>
        <v>7.1054273576010019E-15</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0.22727272727272727</v>
      </c>
      <c r="M79" s="1437">
        <f t="shared" si="354"/>
        <v>0.17647058823529413</v>
      </c>
      <c r="N79" s="1437" t="str">
        <f t="shared" si="354"/>
        <v/>
      </c>
      <c r="O79" s="1437" t="str">
        <f t="shared" si="354"/>
        <v/>
      </c>
      <c r="P79" s="1438">
        <f t="shared" si="354"/>
        <v>0.18888888888888888</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4.155555555555555</v>
      </c>
      <c r="M80" s="1509">
        <f>IF(OR(M59=0,P79="",M67=0),"",P79*M67)</f>
        <v>12.844444444444445</v>
      </c>
      <c r="N80" s="1509" t="str">
        <f>IF(OR(N59=0,P79="",N67=0),"",P79*N67)</f>
        <v/>
      </c>
      <c r="O80" s="1509" t="str">
        <f>IF(OR(O59=0,P79="",O67=0),"",P79*O67)</f>
        <v/>
      </c>
      <c r="P80" s="1510">
        <f>IF(OR(P79="",P67=0),"",P79*P67)</f>
        <v>17</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0.844444444444445</v>
      </c>
      <c r="M81" s="1511">
        <f t="shared" si="355"/>
        <v>-0.844444444444445</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18</v>
      </c>
      <c r="M113" s="1125">
        <f>GI49</f>
        <v>62</v>
      </c>
      <c r="N113" s="1125">
        <f>GJ49</f>
        <v>0</v>
      </c>
      <c r="O113" s="1126">
        <f>GK49</f>
        <v>0</v>
      </c>
      <c r="P113" s="749">
        <f t="shared" ref="P113:P123" si="364">SUM(K113:O113)</f>
        <v>80</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4</v>
      </c>
      <c r="M114" s="1131">
        <f>GN49</f>
        <v>6</v>
      </c>
      <c r="N114" s="1131">
        <f>GO49</f>
        <v>0</v>
      </c>
      <c r="O114" s="1132">
        <f>GP49</f>
        <v>0</v>
      </c>
      <c r="P114" s="746">
        <f t="shared" si="364"/>
        <v>10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22</v>
      </c>
      <c r="M115" s="1093">
        <f>SUM(M113:M114)+GS49</f>
        <v>68</v>
      </c>
      <c r="N115" s="1093">
        <f>SUM(N113:N114)+GT49</f>
        <v>0</v>
      </c>
      <c r="O115" s="1093">
        <f>SUM(O113:O114)+GU49</f>
        <v>0</v>
      </c>
      <c r="P115" s="1093">
        <f t="shared" si="364"/>
        <v>90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6491</v>
      </c>
      <c r="D127" s="3636"/>
      <c r="E127" s="908" t="s">
        <v>36</v>
      </c>
      <c r="F127" s="767"/>
      <c r="G127" s="909"/>
      <c r="H127" s="1442"/>
      <c r="I127" s="910"/>
      <c r="J127" s="911"/>
      <c r="K127" s="1145">
        <f t="shared" ref="K127:P127" si="365">SUM(K128:K135)</f>
        <v>0</v>
      </c>
      <c r="L127" s="1146">
        <f t="shared" si="365"/>
        <v>22</v>
      </c>
      <c r="M127" s="1146">
        <f t="shared" si="365"/>
        <v>68</v>
      </c>
      <c r="N127" s="1146">
        <f t="shared" si="365"/>
        <v>0</v>
      </c>
      <c r="O127" s="1147">
        <f t="shared" si="365"/>
        <v>0</v>
      </c>
      <c r="P127" s="1096">
        <f t="shared" si="365"/>
        <v>90</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6485</v>
      </c>
      <c r="I134" s="33"/>
      <c r="J134" s="62"/>
      <c r="K134" s="1151">
        <f>KR49</f>
        <v>0</v>
      </c>
      <c r="L134" s="1152">
        <f>KS49</f>
        <v>22</v>
      </c>
      <c r="M134" s="1152">
        <f>KT49</f>
        <v>68</v>
      </c>
      <c r="N134" s="1152">
        <f>KU49</f>
        <v>0</v>
      </c>
      <c r="O134" s="1153">
        <f>KV49</f>
        <v>0</v>
      </c>
      <c r="P134" s="469">
        <f t="shared" si="367"/>
        <v>90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6492</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22</v>
      </c>
      <c r="M153" s="1161">
        <f t="shared" si="371"/>
        <v>68</v>
      </c>
      <c r="N153" s="1161">
        <f t="shared" si="371"/>
        <v>0</v>
      </c>
      <c r="O153" s="1162">
        <f t="shared" si="371"/>
        <v>0</v>
      </c>
      <c r="P153" s="1688">
        <f t="shared" si="369"/>
        <v>90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3890</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8684</v>
      </c>
      <c r="M159" s="1164">
        <f>EU49</f>
        <v>46650</v>
      </c>
      <c r="N159" s="1164">
        <f>EV49</f>
        <v>0</v>
      </c>
      <c r="O159" s="1165">
        <f>EW49</f>
        <v>0</v>
      </c>
      <c r="P159" s="1088">
        <f t="shared" si="372"/>
        <v>55334</v>
      </c>
      <c r="Q159" s="1291">
        <f t="shared" si="373"/>
        <v>878.31746031746036</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3340</v>
      </c>
      <c r="M160" s="1224">
        <f>EZ49</f>
        <v>11196</v>
      </c>
      <c r="N160" s="1224">
        <f>FA49</f>
        <v>0</v>
      </c>
      <c r="O160" s="1225">
        <f>FB49</f>
        <v>0</v>
      </c>
      <c r="P160" s="1226">
        <f t="shared" si="372"/>
        <v>14536</v>
      </c>
      <c r="Q160" s="1291">
        <f t="shared" si="373"/>
        <v>855.05882352941171</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12024</v>
      </c>
      <c r="M164" s="1690">
        <f>SUM(M157:M163)</f>
        <v>57846</v>
      </c>
      <c r="N164" s="1690">
        <f>SUM(N157:N163)</f>
        <v>0</v>
      </c>
      <c r="O164" s="1690">
        <f>SUM(O157:O163)</f>
        <v>0</v>
      </c>
      <c r="P164" s="1690">
        <f>SUM(K164:O164)</f>
        <v>69870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2672</v>
      </c>
      <c r="M165" s="1167">
        <f>FT49</f>
        <v>5598</v>
      </c>
      <c r="N165" s="1167">
        <f>FU49</f>
        <v>0</v>
      </c>
      <c r="O165" s="1168">
        <f>FV49</f>
        <v>0</v>
      </c>
      <c r="P165" s="1095">
        <f>SUM(K165:O165)</f>
        <v>8270</v>
      </c>
      <c r="Q165" s="1234">
        <f>IF(OR(P64=0,P64=""),"",P165/P64)</f>
        <v>827</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14696</v>
      </c>
      <c r="M166" s="1689">
        <f>SUM(M164:M165)</f>
        <v>63444</v>
      </c>
      <c r="N166" s="1689">
        <f>SUM(N164:N165)</f>
        <v>0</v>
      </c>
      <c r="O166" s="1689">
        <f>SUM(O164:O165)</f>
        <v>0</v>
      </c>
      <c r="P166" s="1689">
        <f>SUM(K166:O166)</f>
        <v>78140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14696</v>
      </c>
      <c r="M168" s="1094">
        <f>SUM(M166:M167)</f>
        <v>63444</v>
      </c>
      <c r="N168" s="1094">
        <f>SUM(N166:N167)</f>
        <v>0</v>
      </c>
      <c r="O168" s="1094">
        <f>SUM(O166:O167)</f>
        <v>0</v>
      </c>
      <c r="P168" s="1094">
        <f>SUM(K168:O168)</f>
        <v>78140</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668</v>
      </c>
      <c r="M171" s="1290">
        <f>IF(OR(M67="",M67=0),"",M168/M67)</f>
        <v>933</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73">
        <v>25000</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103140</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25402.32</v>
      </c>
      <c r="I179" s="3664"/>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60242</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60000</v>
      </c>
      <c r="G221" s="3590"/>
      <c r="H221" s="1"/>
      <c r="I221" s="1" t="s">
        <v>1300</v>
      </c>
      <c r="K221" s="1"/>
      <c r="L221" s="3589"/>
      <c r="M221" s="3590"/>
      <c r="N221" s="1"/>
      <c r="O221" s="319">
        <f>+Q220/(P67*0.93)</f>
        <v>719.73715651135001</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40000</v>
      </c>
      <c r="G222" s="3614"/>
      <c r="H222" s="1"/>
      <c r="I222" s="1" t="s">
        <v>1301</v>
      </c>
      <c r="K222" s="1"/>
      <c r="L222" s="3584"/>
      <c r="M222" s="3585"/>
      <c r="N222" s="1"/>
      <c r="O222" s="319">
        <f>+Q220/(P67*0.93)/12</f>
        <v>59.978096375945832</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v>20700</v>
      </c>
      <c r="G223" s="3614"/>
      <c r="H223" s="1"/>
      <c r="I223" s="1"/>
      <c r="K223" s="8" t="s">
        <v>184</v>
      </c>
      <c r="L223" s="3603">
        <f>SUM(L221:M222)</f>
        <v>0</v>
      </c>
      <c r="M223" s="3604"/>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3">
        <v>15000</v>
      </c>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135700</v>
      </c>
      <c r="G227" s="3604"/>
      <c r="H227" s="1"/>
      <c r="I227" s="1" t="s">
        <v>1497</v>
      </c>
      <c r="K227" s="1"/>
      <c r="L227" s="3607">
        <v>2500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5000</v>
      </c>
      <c r="M228" s="3612"/>
      <c r="N228" s="3598" t="str">
        <f>IF(Q230="","",IF(Q228&lt;Q230, "WARNING! OE below required minimum.",""))</f>
        <v/>
      </c>
      <c r="O228" s="4" t="s">
        <v>2029</v>
      </c>
      <c r="P228" s="1"/>
      <c r="Q228" s="326">
        <f>F227+F236+F247+L223+L231+L241+L247+Q220</f>
        <v>510892</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2500</v>
      </c>
      <c r="M229" s="3612"/>
      <c r="N229" s="3598"/>
      <c r="O229" s="42" t="s">
        <v>2486</v>
      </c>
      <c r="P229" s="319">
        <f>+Q228/P67</f>
        <v>5676.5777777777776</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7500</v>
      </c>
      <c r="G230" s="3590"/>
      <c r="H230" s="1"/>
      <c r="I230" s="3621" t="s">
        <v>46</v>
      </c>
      <c r="J230" s="3622"/>
      <c r="K230" s="3623"/>
      <c r="L230" s="3615"/>
      <c r="M230" s="3616"/>
      <c r="N230" s="359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405000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7200</v>
      </c>
      <c r="G231" s="3614"/>
      <c r="H231" s="1"/>
      <c r="I231" s="4"/>
      <c r="K231" s="8" t="s">
        <v>184</v>
      </c>
      <c r="L231" s="3594">
        <f>SUM(L227:L230)</f>
        <v>10000</v>
      </c>
      <c r="M231" s="3620"/>
      <c r="N231" s="3598"/>
      <c r="O231" s="3593" t="s">
        <v>6724</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v>2000</v>
      </c>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c r="G234" s="3614"/>
      <c r="H234" s="1"/>
      <c r="I234" s="4" t="s">
        <v>1297</v>
      </c>
      <c r="K234" s="248" t="s">
        <v>3883</v>
      </c>
      <c r="O234" s="1312" t="s">
        <v>3085</v>
      </c>
      <c r="P234" s="4"/>
      <c r="Q234" s="917">
        <f>Q243</f>
        <v>22500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7067</v>
      </c>
      <c r="C235" s="3618"/>
      <c r="D235" s="3618"/>
      <c r="E235" s="3619"/>
      <c r="F235" s="3584">
        <v>7000</v>
      </c>
      <c r="G235" s="3585"/>
      <c r="H235" s="1"/>
      <c r="I235" s="1" t="s">
        <v>1290</v>
      </c>
      <c r="K235" s="365">
        <f>L235/12/P67</f>
        <v>4.6296296296296298</v>
      </c>
      <c r="L235" s="3607">
        <v>5000</v>
      </c>
      <c r="M235" s="3608"/>
      <c r="N235" s="3598"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23700</v>
      </c>
      <c r="G236" s="3604"/>
      <c r="H236" s="1"/>
      <c r="I236" s="1" t="s">
        <v>1291</v>
      </c>
      <c r="K236" s="365">
        <f>L236/12/P67</f>
        <v>0</v>
      </c>
      <c r="L236" s="3611"/>
      <c r="M236" s="3612"/>
      <c r="N236" s="3599"/>
      <c r="O236" s="3600" t="s">
        <v>3229</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72.68518518518519</v>
      </c>
      <c r="L237" s="3611">
        <v>78500</v>
      </c>
      <c r="M237" s="3612"/>
      <c r="N237" s="3599"/>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18.518518518518519</v>
      </c>
      <c r="L238" s="3611">
        <v>20000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10000</v>
      </c>
      <c r="G239" s="3606"/>
      <c r="H239" s="1"/>
      <c r="I239" s="72" t="s">
        <v>6681</v>
      </c>
      <c r="K239" s="365">
        <f>L239/12/P67</f>
        <v>0</v>
      </c>
      <c r="L239" s="3611"/>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2500</v>
      </c>
      <c r="G240" s="3610"/>
      <c r="H240" s="1"/>
      <c r="I240" s="3626" t="s">
        <v>46</v>
      </c>
      <c r="J240" s="3627"/>
      <c r="K240" s="365">
        <f>L240/12/P67</f>
        <v>0</v>
      </c>
      <c r="L240" s="3615"/>
      <c r="M240" s="3616"/>
      <c r="N240" s="3599"/>
      <c r="O240" s="387" t="s">
        <v>3051</v>
      </c>
      <c r="P240" s="673" t="str">
        <f>CONCATENATE(SUM(MK49:MO49)," units x $",'DCA Underwriting Assumptions'!$Q$29," =")</f>
        <v>90 units x $250 =</v>
      </c>
      <c r="Q240" s="501">
        <f>SUM(MK49:MO49)*'DCA Underwriting Assumptions'!$Q$29</f>
        <v>22500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12000</v>
      </c>
      <c r="G241" s="3610"/>
      <c r="H241" s="1"/>
      <c r="K241" s="8" t="s">
        <v>184</v>
      </c>
      <c r="L241" s="3594">
        <f>SUM(L235:L240)</f>
        <v>103500</v>
      </c>
      <c r="M241" s="3620"/>
      <c r="N241" s="3599"/>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5000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5000</v>
      </c>
      <c r="G243" s="3614"/>
      <c r="H243" s="1"/>
      <c r="I243" s="4" t="s">
        <v>1298</v>
      </c>
      <c r="O243" s="769" t="s">
        <v>2467</v>
      </c>
      <c r="P243" s="770">
        <f>SUM(MF49:MJ49)+SUM(MK49:MO49)+SUM(MP49:MT49)+P125</f>
        <v>90</v>
      </c>
      <c r="Q243" s="771">
        <f>SUM(Q239:Q242)</f>
        <v>22500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v>15000</v>
      </c>
      <c r="G244" s="3614"/>
      <c r="H244" s="1"/>
      <c r="I244" s="72" t="s">
        <v>3929</v>
      </c>
      <c r="K244" s="1"/>
      <c r="L244" s="3607">
        <v>85000</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5000</v>
      </c>
      <c r="G245" s="3614"/>
      <c r="H245" s="1"/>
      <c r="I245" s="1" t="s">
        <v>140</v>
      </c>
      <c r="K245" s="1"/>
      <c r="L245" s="3611">
        <v>38250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54500</v>
      </c>
      <c r="G247" s="3597"/>
      <c r="H247" s="1"/>
      <c r="K247" s="8" t="s">
        <v>184</v>
      </c>
      <c r="L247" s="3594">
        <f>SUM(L243:L246)</f>
        <v>123250</v>
      </c>
      <c r="M247" s="3595"/>
      <c r="N247" s="1"/>
      <c r="O247" s="4" t="s">
        <v>2030</v>
      </c>
      <c r="P247" s="1"/>
      <c r="Q247" s="326">
        <f>Q228+Q234</f>
        <v>533392</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50"/>
      <c r="L251" s="3651"/>
      <c r="M251" s="1284" t="s">
        <v>3900</v>
      </c>
      <c r="N251" s="1222"/>
      <c r="O251" s="4" t="s">
        <v>3875</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592" t="s">
        <v>7069</v>
      </c>
      <c r="B256" s="3592"/>
      <c r="C256" s="3592"/>
      <c r="D256" s="3592"/>
      <c r="E256" s="3592"/>
      <c r="F256" s="3592"/>
      <c r="G256" s="3592"/>
      <c r="H256" s="3592"/>
      <c r="I256" s="3592"/>
      <c r="J256" s="3592"/>
      <c r="K256" s="3592"/>
      <c r="L256" s="3592"/>
      <c r="M256" s="3592"/>
      <c r="N256" s="3591"/>
      <c r="O256" s="3591"/>
      <c r="P256" s="3591"/>
      <c r="Q256" s="3591"/>
      <c r="R256" s="3011"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26" sqref="B26"/>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Helix, Riverdale, Clayton County</v>
      </c>
      <c r="B2" s="3677"/>
      <c r="C2" s="3677"/>
      <c r="D2" s="3677"/>
      <c r="E2" s="3677"/>
      <c r="F2" s="3677"/>
      <c r="G2" s="3677"/>
      <c r="H2" s="3677"/>
      <c r="I2" s="3677"/>
      <c r="J2" s="3677"/>
      <c r="K2" s="3678"/>
      <c r="L2" s="4"/>
      <c r="M2" s="4"/>
      <c r="N2" s="3679" t="str">
        <f>A2</f>
        <v>PART SIX - OPERATING PRO FORMA  -  2023-0 Helix, Riverdale, Clayton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3402</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3403</v>
      </c>
      <c r="E6" s="3564"/>
      <c r="F6" s="3564"/>
      <c r="G6" s="59">
        <v>5000</v>
      </c>
      <c r="H6" s="75" t="s">
        <v>1768</v>
      </c>
      <c r="K6" s="80">
        <f>IF(($B$15+$B$16+$B$17+$B$18)=0,"",B31/($B$15+$B$16+$B$17+$B$18))</f>
        <v>-4.1499560469523151E-3</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5.0000330436100276E-2</v>
      </c>
      <c r="N8" s="3559"/>
      <c r="O8" s="3561"/>
      <c r="AA8" s="1721">
        <v>8</v>
      </c>
    </row>
    <row r="9" spans="1:27" ht="13.35" customHeight="1">
      <c r="A9" s="6" t="s">
        <v>2033</v>
      </c>
      <c r="B9" s="186">
        <v>7.0000000000000007E-2</v>
      </c>
      <c r="C9" s="1213" t="str">
        <f>IF(B9&lt;0.07, "Must be &gt;= 7%!","")</f>
        <v/>
      </c>
      <c r="D9" s="1" t="s">
        <v>2307</v>
      </c>
      <c r="G9" s="1228" t="s">
        <v>2649</v>
      </c>
      <c r="H9" s="140" t="s">
        <v>1355</v>
      </c>
      <c r="K9" s="1230">
        <v>60242</v>
      </c>
      <c r="N9" s="3559"/>
      <c r="O9" s="3561"/>
      <c r="AA9" s="1721">
        <v>9</v>
      </c>
    </row>
    <row r="10" spans="1:27">
      <c r="A10" s="6" t="s">
        <v>1336</v>
      </c>
      <c r="B10" s="58">
        <v>0.02</v>
      </c>
      <c r="D10" s="1" t="s">
        <v>1597</v>
      </c>
      <c r="G10" s="1229" t="s">
        <v>2652</v>
      </c>
      <c r="H10" s="140" t="s">
        <v>2174</v>
      </c>
      <c r="K10" s="1231"/>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1270116</v>
      </c>
      <c r="C15" s="15">
        <f t="shared" ref="C15:K15" si="1">$B$15*(1+$B$6)^(C14-1)</f>
        <v>1295518.32</v>
      </c>
      <c r="D15" s="15">
        <f t="shared" si="1"/>
        <v>1321428.6864</v>
      </c>
      <c r="E15" s="15">
        <f t="shared" si="1"/>
        <v>1347857.2601279998</v>
      </c>
      <c r="F15" s="15">
        <f t="shared" si="1"/>
        <v>1374814.4053305599</v>
      </c>
      <c r="G15" s="15">
        <f t="shared" si="1"/>
        <v>1402310.6934371712</v>
      </c>
      <c r="H15" s="15">
        <f t="shared" si="1"/>
        <v>1430356.9073059147</v>
      </c>
      <c r="I15" s="15">
        <f t="shared" si="1"/>
        <v>1458964.0454520327</v>
      </c>
      <c r="J15" s="15">
        <f t="shared" si="1"/>
        <v>1488143.3263610734</v>
      </c>
      <c r="K15" s="16">
        <f t="shared" si="1"/>
        <v>1517906.192888295</v>
      </c>
      <c r="N15" s="3581"/>
      <c r="O15" s="3583"/>
      <c r="S15" s="3672" t="s">
        <v>3408</v>
      </c>
      <c r="Z15" s="1719" t="s">
        <v>6460</v>
      </c>
      <c r="AA15" s="1721">
        <v>15</v>
      </c>
    </row>
    <row r="16" spans="1:27" ht="13.35" customHeight="1">
      <c r="A16" s="17" t="s">
        <v>952</v>
      </c>
      <c r="B16" s="18">
        <f>MIN(B15*B10,'Part V-Revenues &amp; Expenses'!$H$179)</f>
        <v>25402.32</v>
      </c>
      <c r="C16" s="18">
        <f t="shared" ref="C16:K16" si="2">$B$16*(1+$B$6)^(C14-1)</f>
        <v>25910.366399999999</v>
      </c>
      <c r="D16" s="18">
        <f t="shared" si="2"/>
        <v>26428.573727999999</v>
      </c>
      <c r="E16" s="18">
        <f t="shared" si="2"/>
        <v>26957.145202559997</v>
      </c>
      <c r="F16" s="18">
        <f t="shared" si="2"/>
        <v>27496.288106611199</v>
      </c>
      <c r="G16" s="18">
        <f t="shared" si="2"/>
        <v>28046.213868743424</v>
      </c>
      <c r="H16" s="18">
        <f t="shared" si="2"/>
        <v>28607.138146118294</v>
      </c>
      <c r="I16" s="18">
        <f t="shared" si="2"/>
        <v>29179.280909040652</v>
      </c>
      <c r="J16" s="18">
        <f t="shared" si="2"/>
        <v>29762.866527221468</v>
      </c>
      <c r="K16" s="19">
        <f t="shared" si="2"/>
        <v>30358.123857765899</v>
      </c>
      <c r="N16" s="3559"/>
      <c r="O16" s="3561"/>
      <c r="S16" s="3673"/>
      <c r="Z16" s="1719" t="s">
        <v>6460</v>
      </c>
      <c r="AA16" s="1721">
        <v>16</v>
      </c>
    </row>
    <row r="17" spans="1:27" ht="13.35" customHeight="1">
      <c r="A17" s="17" t="s">
        <v>2216</v>
      </c>
      <c r="B17" s="18">
        <f t="shared" ref="B17:K17" si="3">-(B15+B16)*$B$9</f>
        <v>-90686.282400000011</v>
      </c>
      <c r="C17" s="18">
        <f t="shared" si="3"/>
        <v>-92500.008048000003</v>
      </c>
      <c r="D17" s="18">
        <f t="shared" si="3"/>
        <v>-94350.008208960018</v>
      </c>
      <c r="E17" s="18">
        <f t="shared" si="3"/>
        <v>-96237.008373139193</v>
      </c>
      <c r="F17" s="18">
        <f t="shared" si="3"/>
        <v>-98161.748540601984</v>
      </c>
      <c r="G17" s="18">
        <f t="shared" si="3"/>
        <v>-100124.98351141403</v>
      </c>
      <c r="H17" s="18">
        <f t="shared" si="3"/>
        <v>-102127.48318164231</v>
      </c>
      <c r="I17" s="18">
        <f t="shared" si="3"/>
        <v>-104170.03284527514</v>
      </c>
      <c r="J17" s="18">
        <f t="shared" si="3"/>
        <v>-106253.43350218065</v>
      </c>
      <c r="K17" s="19">
        <f t="shared" si="3"/>
        <v>-108378.50217222428</v>
      </c>
      <c r="N17" s="3559"/>
      <c r="O17" s="3561"/>
      <c r="Q17" s="3675" t="s">
        <v>3298</v>
      </c>
      <c r="R17" s="3675" t="s">
        <v>3407</v>
      </c>
      <c r="S17" s="3673"/>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1204832.0376000002</v>
      </c>
      <c r="C20" s="18">
        <f t="shared" ref="C20:K20" si="4">SUM(C15:C19)</f>
        <v>1228928.678352</v>
      </c>
      <c r="D20" s="18">
        <f t="shared" si="4"/>
        <v>1253507.25191904</v>
      </c>
      <c r="E20" s="18">
        <f t="shared" si="4"/>
        <v>1278577.3969574205</v>
      </c>
      <c r="F20" s="18">
        <f t="shared" si="4"/>
        <v>1304148.9448965692</v>
      </c>
      <c r="G20" s="18">
        <f t="shared" si="4"/>
        <v>1330231.9237945005</v>
      </c>
      <c r="H20" s="18">
        <f t="shared" si="4"/>
        <v>1356836.5622703906</v>
      </c>
      <c r="I20" s="18">
        <f t="shared" si="4"/>
        <v>1383973.2935157982</v>
      </c>
      <c r="J20" s="18">
        <f t="shared" si="4"/>
        <v>1411652.7593861141</v>
      </c>
      <c r="K20" s="19">
        <f t="shared" si="4"/>
        <v>1439885.8145738367</v>
      </c>
      <c r="N20" s="3559"/>
      <c r="O20" s="3561"/>
      <c r="Z20" s="1719" t="s">
        <v>6460</v>
      </c>
      <c r="AA20" s="1721">
        <v>20</v>
      </c>
    </row>
    <row r="21" spans="1:27" ht="13.35" customHeight="1">
      <c r="A21" s="17" t="s">
        <v>572</v>
      </c>
      <c r="B21" s="18">
        <f>-('Part V-Revenues &amp; Expenses'!$Q$228-'Part V-Revenues &amp; Expenses'!$Q$220)</f>
        <v>-450650</v>
      </c>
      <c r="C21" s="18">
        <f t="shared" ref="C21:K21" si="5">$B$21*(1+$B$7)^(C14-1)</f>
        <v>-464169.5</v>
      </c>
      <c r="D21" s="18">
        <f t="shared" si="5"/>
        <v>-478094.58499999996</v>
      </c>
      <c r="E21" s="18">
        <f t="shared" si="5"/>
        <v>-492437.42255000002</v>
      </c>
      <c r="F21" s="18">
        <f t="shared" si="5"/>
        <v>-507210.54522649996</v>
      </c>
      <c r="G21" s="18">
        <f t="shared" si="5"/>
        <v>-522426.86158329493</v>
      </c>
      <c r="H21" s="18">
        <f t="shared" si="5"/>
        <v>-538099.66743079387</v>
      </c>
      <c r="I21" s="18">
        <f t="shared" si="5"/>
        <v>-554242.65745371766</v>
      </c>
      <c r="J21" s="18">
        <f t="shared" si="5"/>
        <v>-570869.93717732909</v>
      </c>
      <c r="K21" s="19">
        <f t="shared" si="5"/>
        <v>-587996.03529264906</v>
      </c>
      <c r="N21" s="3559"/>
      <c r="O21" s="3561"/>
      <c r="Q21" s="47">
        <v>1</v>
      </c>
      <c r="R21" s="869">
        <f>-B32</f>
        <v>122806</v>
      </c>
      <c r="S21" s="869">
        <f>B33+R21</f>
        <v>154006.80959976686</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-60242</v>
      </c>
      <c r="C22" s="18">
        <f>IF(AND('Part VI-Pro Forma'!$G$9="Yes",'Part VI-Pro Forma'!$G$10="Yes"),"Choose One!",IF('Part VI-Pro Forma'!$G$9="Yes",ROUND((-$K$9*(1+'Part VI-Pro Forma'!$B$7)^('Part VI-Pro Forma'!C14-1)),),IF('Part VI-Pro Forma'!$G$10="Yes",ROUND((-(SUM(C15:C18)*'Part VI-Pro Forma'!$K$10)),),"Choose mgt fee")))</f>
        <v>-62049</v>
      </c>
      <c r="D22" s="18">
        <f>IF(AND('Part VI-Pro Forma'!$G$9="Yes",'Part VI-Pro Forma'!$G$10="Yes"),"Choose One!",IF('Part VI-Pro Forma'!$G$9="Yes",ROUND((-$K$9*(1+'Part VI-Pro Forma'!$B$7)^('Part VI-Pro Forma'!D14-1)),),IF('Part VI-Pro Forma'!$G$10="Yes",ROUND((-(SUM(D15:D18)*'Part VI-Pro Forma'!$K$10)),),"Choose mgt fee")))</f>
        <v>-63911</v>
      </c>
      <c r="E22" s="18">
        <f>IF(AND('Part VI-Pro Forma'!$G$9="Yes",'Part VI-Pro Forma'!$G$10="Yes"),"Choose One!",IF('Part VI-Pro Forma'!$G$9="Yes",ROUND((-$K$9*(1+'Part VI-Pro Forma'!$B$7)^('Part VI-Pro Forma'!E14-1)),),IF('Part VI-Pro Forma'!$G$10="Yes",ROUND((-(SUM(E15:E18)*'Part VI-Pro Forma'!$K$10)),),"Choose mgt fee")))</f>
        <v>-65828</v>
      </c>
      <c r="F22" s="18">
        <f>IF(AND('Part VI-Pro Forma'!$G$9="Yes",'Part VI-Pro Forma'!$G$10="Yes"),"Choose One!",IF('Part VI-Pro Forma'!$G$9="Yes",ROUND((-$K$9*(1+'Part VI-Pro Forma'!$B$7)^('Part VI-Pro Forma'!F14-1)),),IF('Part VI-Pro Forma'!$G$10="Yes",ROUND((-(SUM(F15:F18)*'Part VI-Pro Forma'!$K$10)),),"Choose mgt fee")))</f>
        <v>-67803</v>
      </c>
      <c r="G22" s="18">
        <f>IF(AND('Part VI-Pro Forma'!$G$9="Yes",'Part VI-Pro Forma'!$G$10="Yes"),"Choose One!",IF('Part VI-Pro Forma'!$G$9="Yes",ROUND((-$K$9*(1+'Part VI-Pro Forma'!$B$7)^('Part VI-Pro Forma'!G14-1)),),IF('Part VI-Pro Forma'!$G$10="Yes",ROUND((-(SUM(G15:G18)*'Part VI-Pro Forma'!$K$10)),),"Choose mgt fee")))</f>
        <v>-69837</v>
      </c>
      <c r="H22" s="18">
        <f>IF(AND('Part VI-Pro Forma'!$G$9="Yes",'Part VI-Pro Forma'!$G$10="Yes"),"Choose One!",IF('Part VI-Pro Forma'!$G$9="Yes",ROUND((-$K$9*(1+'Part VI-Pro Forma'!$B$7)^('Part VI-Pro Forma'!H14-1)),),IF('Part VI-Pro Forma'!$G$10="Yes",ROUND((-(SUM(H15:H18)*'Part VI-Pro Forma'!$K$10)),),"Choose mgt fee")))</f>
        <v>-71932</v>
      </c>
      <c r="I22" s="18">
        <f>IF(AND('Part VI-Pro Forma'!$G$9="Yes",'Part VI-Pro Forma'!$G$10="Yes"),"Choose One!",IF('Part VI-Pro Forma'!$G$9="Yes",ROUND((-$K$9*(1+'Part VI-Pro Forma'!$B$7)^('Part VI-Pro Forma'!I14-1)),),IF('Part VI-Pro Forma'!$G$10="Yes",ROUND((-(SUM(I15:I18)*'Part VI-Pro Forma'!$K$10)),),"Choose mgt fee")))</f>
        <v>-74090</v>
      </c>
      <c r="J22" s="18">
        <f>IF(AND('Part VI-Pro Forma'!$G$9="Yes",'Part VI-Pro Forma'!$G$10="Yes"),"Choose One!",IF('Part VI-Pro Forma'!$G$9="Yes",ROUND((-$K$9*(1+'Part VI-Pro Forma'!$B$7)^('Part VI-Pro Forma'!J14-1)),),IF('Part VI-Pro Forma'!$G$10="Yes",ROUND((-(SUM(J15:J18)*'Part VI-Pro Forma'!$K$10)),),"Choose mgt fee")))</f>
        <v>-76313</v>
      </c>
      <c r="K22" s="19">
        <f>IF(AND('Part VI-Pro Forma'!$G$9="Yes",'Part VI-Pro Forma'!$G$10="Yes"),"Choose One!",IF('Part VI-Pro Forma'!$G$9="Yes",ROUND((-$K$9*(1+'Part VI-Pro Forma'!$B$7)^('Part VI-Pro Forma'!K14-1)),),IF('Part VI-Pro Forma'!$G$10="Yes",ROUND((-(SUM(K15:K18)*'Part VI-Pro Forma'!$K$10)),),"Choose mgt fee")))</f>
        <v>-78602</v>
      </c>
      <c r="N22" s="3559"/>
      <c r="O22" s="3561"/>
      <c r="Q22" s="47">
        <v>2</v>
      </c>
      <c r="R22" s="869">
        <f>-SUM(B32:C32)</f>
        <v>122806</v>
      </c>
      <c r="S22" s="869">
        <f>SUM(B33:C33)+R22</f>
        <v>316108.75995153352</v>
      </c>
      <c r="Z22" s="1719" t="s">
        <v>6460</v>
      </c>
      <c r="AA22" s="1721">
        <v>22</v>
      </c>
    </row>
    <row r="23" spans="1:27" ht="13.35" customHeight="1">
      <c r="A23" s="17" t="s">
        <v>1128</v>
      </c>
      <c r="B23" s="18">
        <f>-('Part V-Revenues &amp; Expenses'!$Q$234)</f>
        <v>-22500</v>
      </c>
      <c r="C23" s="18">
        <f t="shared" ref="C23:K23" si="6">$B$23*(1+$B$8)^(C14-1)</f>
        <v>-23175</v>
      </c>
      <c r="D23" s="18">
        <f t="shared" si="6"/>
        <v>-23870.25</v>
      </c>
      <c r="E23" s="18">
        <f t="shared" si="6"/>
        <v>-24586.357500000002</v>
      </c>
      <c r="F23" s="18">
        <f t="shared" si="6"/>
        <v>-25323.948224999996</v>
      </c>
      <c r="G23" s="18">
        <f t="shared" si="6"/>
        <v>-26083.666671749997</v>
      </c>
      <c r="H23" s="18">
        <f t="shared" si="6"/>
        <v>-26866.176671902496</v>
      </c>
      <c r="I23" s="18">
        <f t="shared" si="6"/>
        <v>-27672.161972059574</v>
      </c>
      <c r="J23" s="18">
        <f t="shared" si="6"/>
        <v>-28502.326831221359</v>
      </c>
      <c r="K23" s="19">
        <f t="shared" si="6"/>
        <v>-29357.396636157999</v>
      </c>
      <c r="N23" s="3559"/>
      <c r="O23" s="3561"/>
      <c r="Q23" s="47">
        <v>3</v>
      </c>
      <c r="R23" s="869">
        <f>-SUM(B32:D32)</f>
        <v>122806</v>
      </c>
      <c r="S23" s="869">
        <f>SUM(B33:D33)+R23</f>
        <v>486306.94887034025</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122806</v>
      </c>
      <c r="S24" s="869">
        <f>SUM(B33:E33)+R24</f>
        <v>664599.3377775274</v>
      </c>
      <c r="Z24" s="1719" t="s">
        <v>6460</v>
      </c>
      <c r="AA24" s="1721">
        <v>24</v>
      </c>
    </row>
    <row r="25" spans="1:27" ht="13.35" customHeight="1">
      <c r="A25" s="17" t="s">
        <v>1129</v>
      </c>
      <c r="B25" s="18">
        <f>SUM(B20:B24)</f>
        <v>671440.03760000016</v>
      </c>
      <c r="C25" s="18">
        <f t="shared" ref="C25:J25" si="7">SUM(C20:C24)</f>
        <v>679535.17835199996</v>
      </c>
      <c r="D25" s="18">
        <f t="shared" si="7"/>
        <v>687631.41691904003</v>
      </c>
      <c r="E25" s="18">
        <f t="shared" si="7"/>
        <v>695725.61690742045</v>
      </c>
      <c r="F25" s="18">
        <f t="shared" si="7"/>
        <v>703811.4514450694</v>
      </c>
      <c r="G25" s="18">
        <f t="shared" si="7"/>
        <v>711884.39553945558</v>
      </c>
      <c r="H25" s="18">
        <f t="shared" si="7"/>
        <v>719938.71816769417</v>
      </c>
      <c r="I25" s="18">
        <f t="shared" si="7"/>
        <v>727968.47409002099</v>
      </c>
      <c r="J25" s="18">
        <f t="shared" si="7"/>
        <v>735967.49537756364</v>
      </c>
      <c r="K25" s="1215">
        <f>SUM(K20:K24)</f>
        <v>743930.38264502969</v>
      </c>
      <c r="N25" s="3559"/>
      <c r="O25" s="3561"/>
      <c r="Q25" s="92">
        <v>5</v>
      </c>
      <c r="R25" s="869">
        <f>-SUM(B32:F32)</f>
        <v>122806</v>
      </c>
      <c r="S25" s="869">
        <f>SUM(B33:F33)+R25</f>
        <v>850977.5612223635</v>
      </c>
      <c r="Z25" s="1719" t="s">
        <v>6460</v>
      </c>
      <c r="AA25" s="1721">
        <v>25</v>
      </c>
    </row>
    <row r="26" spans="1:27" ht="13.35" customHeight="1">
      <c r="A26" s="341" t="s">
        <v>1486</v>
      </c>
      <c r="B26" s="342">
        <f>IF('Part II-Sources of Funds'!$P$40="", 0,-'Part II-Sources of Funds'!$P$40)</f>
        <v>-512433.2280002333</v>
      </c>
      <c r="C26" s="342">
        <f>IF('Part II-Sources of Funds'!$P$40="", 0,-'Part II-Sources of Funds'!$P$40)</f>
        <v>-512433.2280002333</v>
      </c>
      <c r="D26" s="342">
        <f>IF('Part II-Sources of Funds'!$P$40="", 0,-'Part II-Sources of Funds'!$P$40)</f>
        <v>-512433.2280002333</v>
      </c>
      <c r="E26" s="342">
        <f>IF('Part II-Sources of Funds'!$P$40="", 0,-'Part II-Sources of Funds'!$P$40)</f>
        <v>-512433.2280002333</v>
      </c>
      <c r="F26" s="342">
        <f>IF('Part II-Sources of Funds'!$P$40="", 0,-'Part II-Sources of Funds'!$P$40)</f>
        <v>-512433.2280002333</v>
      </c>
      <c r="G26" s="342">
        <f>IF('Part II-Sources of Funds'!$P$40="", 0,-'Part II-Sources of Funds'!$P$40)</f>
        <v>-512433.2280002333</v>
      </c>
      <c r="H26" s="342">
        <f>IF('Part II-Sources of Funds'!$P$40="", 0,-'Part II-Sources of Funds'!$P$40)</f>
        <v>-512433.2280002333</v>
      </c>
      <c r="I26" s="342">
        <f>IF('Part II-Sources of Funds'!$P$40="", 0,-'Part II-Sources of Funds'!$P$40)</f>
        <v>-512433.2280002333</v>
      </c>
      <c r="J26" s="342">
        <f>IF('Part II-Sources of Funds'!$P$40="", 0,-'Part II-Sources of Funds'!$P$40)</f>
        <v>-512433.2280002333</v>
      </c>
      <c r="K26" s="342">
        <f>IF('Part II-Sources of Funds'!$P$40="", 0,-'Part II-Sources of Funds'!$P$40)</f>
        <v>-512433.2280002333</v>
      </c>
      <c r="N26" s="3559"/>
      <c r="O26" s="3561"/>
      <c r="Q26" s="92">
        <v>6</v>
      </c>
      <c r="R26" s="869">
        <f>-SUM(B32:G32)</f>
        <v>122806</v>
      </c>
      <c r="S26" s="869">
        <f>SUM(B33:G33)+R26</f>
        <v>1045428.7287615858</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122806</v>
      </c>
      <c r="S27" s="869">
        <f>SUM(B33:H33)+R27</f>
        <v>1247934.2189290468</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122806</v>
      </c>
      <c r="S28" s="869">
        <f>SUM(B33:I33)+R28</f>
        <v>1458469.4650188345</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122806</v>
      </c>
      <c r="S29" s="869">
        <f>SUM(B33:J33)+R29</f>
        <v>1677003.7323961649</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122806</v>
      </c>
      <c r="S30" s="869">
        <f>SUM(B33:K33)+R30</f>
        <v>1903500.8870409613</v>
      </c>
      <c r="Z30" s="1719" t="s">
        <v>6460</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59"/>
      <c r="O31" s="3561"/>
      <c r="Q31" s="92">
        <v>11</v>
      </c>
      <c r="R31" s="869">
        <f>-SUM(B32:K32)-B64</f>
        <v>122806</v>
      </c>
      <c r="S31" s="869">
        <f>SUM(B33:K33)+B65+R31</f>
        <v>2137917.1550193699</v>
      </c>
      <c r="Z31" s="1719" t="s">
        <v>6460</v>
      </c>
      <c r="AA31" s="1721">
        <v>31</v>
      </c>
    </row>
    <row r="32" spans="1:27" ht="13.35" customHeight="1">
      <c r="A32" s="341" t="s">
        <v>3361</v>
      </c>
      <c r="B32" s="179">
        <v>-122806</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122806</v>
      </c>
      <c r="S32" s="869">
        <f>SUM(B33:K33) + SUM(B65:C65)+R32</f>
        <v>2380201.8725684849</v>
      </c>
      <c r="Z32" s="1719" t="s">
        <v>6460</v>
      </c>
      <c r="AA32" s="1721">
        <v>32</v>
      </c>
    </row>
    <row r="33" spans="1:27" ht="13.35" customHeight="1">
      <c r="A33" s="17" t="s">
        <v>1096</v>
      </c>
      <c r="B33" s="18">
        <f t="shared" ref="B33:K33" si="9">SUM(B25:B32)</f>
        <v>31200.809599766857</v>
      </c>
      <c r="C33" s="18">
        <f t="shared" si="9"/>
        <v>162101.95035176666</v>
      </c>
      <c r="D33" s="18">
        <f t="shared" si="9"/>
        <v>170198.18891880673</v>
      </c>
      <c r="E33" s="18">
        <f t="shared" si="9"/>
        <v>178292.38890718715</v>
      </c>
      <c r="F33" s="18">
        <f t="shared" si="9"/>
        <v>186378.2234448361</v>
      </c>
      <c r="G33" s="18">
        <f t="shared" si="9"/>
        <v>194451.16753922228</v>
      </c>
      <c r="H33" s="18">
        <f t="shared" si="9"/>
        <v>202505.49016746087</v>
      </c>
      <c r="I33" s="18">
        <f t="shared" si="9"/>
        <v>210535.24608978769</v>
      </c>
      <c r="J33" s="18">
        <f t="shared" si="9"/>
        <v>218534.26737733034</v>
      </c>
      <c r="K33" s="19">
        <f t="shared" si="9"/>
        <v>226497.15464479639</v>
      </c>
      <c r="N33" s="3559"/>
      <c r="O33" s="3561"/>
      <c r="Q33" s="92">
        <v>13</v>
      </c>
      <c r="R33" s="869">
        <f>-SUM(B32:K32) - SUM(B64:D64)</f>
        <v>122806</v>
      </c>
      <c r="S33" s="869">
        <f>SUM(B33:K33) + SUM(B65:D65)+R33</f>
        <v>2630297.2264692541</v>
      </c>
      <c r="Z33" s="1719" t="s">
        <v>6460</v>
      </c>
      <c r="AA33" s="1721">
        <v>33</v>
      </c>
    </row>
    <row r="34" spans="1:27" ht="13.35" customHeight="1">
      <c r="A34" s="17" t="str">
        <f>IF('Part II-Sources of Funds'!$E$40 = "Neither", "", "DCR Mortgage A")</f>
        <v>DCR Mortgage A</v>
      </c>
      <c r="B34" s="20">
        <f t="shared" ref="B34:K34" si="10">IF(B26=0,"",-B25/B26)</f>
        <v>1.3102976171554872</v>
      </c>
      <c r="C34" s="20">
        <f t="shared" si="10"/>
        <v>1.3260950719450428</v>
      </c>
      <c r="D34" s="20">
        <f t="shared" si="10"/>
        <v>1.341894669091847</v>
      </c>
      <c r="E34" s="20">
        <f t="shared" si="10"/>
        <v>1.3576902880058819</v>
      </c>
      <c r="F34" s="20">
        <f t="shared" si="10"/>
        <v>1.3734695819622942</v>
      </c>
      <c r="G34" s="20">
        <f t="shared" si="10"/>
        <v>1.3892237205568789</v>
      </c>
      <c r="H34" s="20">
        <f t="shared" si="10"/>
        <v>1.4049415198488384</v>
      </c>
      <c r="I34" s="20">
        <f t="shared" si="10"/>
        <v>1.420611377858755</v>
      </c>
      <c r="J34" s="20">
        <f t="shared" si="10"/>
        <v>1.4362212580352587</v>
      </c>
      <c r="K34" s="21">
        <f t="shared" si="10"/>
        <v>1.4517606236196123</v>
      </c>
      <c r="N34" s="3559"/>
      <c r="O34" s="3561"/>
      <c r="Q34" s="92">
        <v>14</v>
      </c>
      <c r="R34" s="869">
        <f>-SUM(B32:K32) - SUM(B64:E64)</f>
        <v>122806</v>
      </c>
      <c r="S34" s="869">
        <f>SUM(B33:K33) + SUM(B65:E65)+R34</f>
        <v>2888138.9843719308</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122806</v>
      </c>
      <c r="S35" s="869">
        <f>SUM(B33:K33) + SUM(B65:F65)+R35</f>
        <v>3153653.2147274697</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122806</v>
      </c>
      <c r="S36" s="869">
        <f>SUM(B33:K33) + SUM(B65:G65)+R36</f>
        <v>3426757.9959669709</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122806</v>
      </c>
      <c r="S37" s="869">
        <f>SUM(B33:K33) + SUM(B65:H65)+R37</f>
        <v>3707363.1145596216</v>
      </c>
      <c r="Z37" s="1719" t="s">
        <v>6460</v>
      </c>
      <c r="AA37" s="1721">
        <v>37</v>
      </c>
    </row>
    <row r="38" spans="1:27" ht="13.35" customHeight="1">
      <c r="A38" s="341" t="s">
        <v>3213</v>
      </c>
      <c r="B38" s="20">
        <f t="shared" ref="B38:K38" si="14">IF(AND(B26=0,B27=0,B28=0,B29=0),"",-B25/(B26+B27+B28+B29))</f>
        <v>1.3102976171554872</v>
      </c>
      <c r="C38" s="20">
        <f t="shared" si="14"/>
        <v>1.3260950719450428</v>
      </c>
      <c r="D38" s="20">
        <f t="shared" si="14"/>
        <v>1.341894669091847</v>
      </c>
      <c r="E38" s="20">
        <f t="shared" si="14"/>
        <v>1.3576902880058819</v>
      </c>
      <c r="F38" s="20">
        <f t="shared" si="14"/>
        <v>1.3734695819622942</v>
      </c>
      <c r="G38" s="20">
        <f t="shared" si="14"/>
        <v>1.3892237205568789</v>
      </c>
      <c r="H38" s="20">
        <f t="shared" si="14"/>
        <v>1.4049415198488384</v>
      </c>
      <c r="I38" s="20">
        <f t="shared" si="14"/>
        <v>1.420611377858755</v>
      </c>
      <c r="J38" s="20">
        <f t="shared" si="14"/>
        <v>1.4362212580352587</v>
      </c>
      <c r="K38" s="21">
        <f t="shared" si="14"/>
        <v>1.4517606236196123</v>
      </c>
      <c r="N38" s="3559"/>
      <c r="O38" s="3561"/>
      <c r="Q38" s="47">
        <v>18</v>
      </c>
      <c r="R38" s="869">
        <f>-SUM(B32:K32) - SUM(B64:I64)</f>
        <v>122806</v>
      </c>
      <c r="S38" s="869">
        <f>SUM(B33:K33) + SUM(B65:I65)+R38</f>
        <v>3995369.7515675332</v>
      </c>
      <c r="Z38" s="1719" t="s">
        <v>6460</v>
      </c>
      <c r="AA38" s="1721">
        <v>38</v>
      </c>
    </row>
    <row r="39" spans="1:27" ht="13.35" customHeight="1">
      <c r="A39" s="17" t="s">
        <v>718</v>
      </c>
      <c r="B39" s="220">
        <f t="shared" ref="B39:K39" si="15">IF(OR(B22="Choose mgt fee",B22="Choose One!"),"",(B15+B16+B17+B18+B19) / -(B21+B22+B23))</f>
        <v>2.2588116012238655</v>
      </c>
      <c r="C39" s="220">
        <f t="shared" si="15"/>
        <v>2.2368824501054343</v>
      </c>
      <c r="D39" s="220">
        <f t="shared" si="15"/>
        <v>2.2151630700382179</v>
      </c>
      <c r="E39" s="220">
        <f t="shared" si="15"/>
        <v>2.193657874473228</v>
      </c>
      <c r="F39" s="220">
        <f t="shared" si="15"/>
        <v>2.1723596462361034</v>
      </c>
      <c r="G39" s="220">
        <f t="shared" si="15"/>
        <v>2.1512690889997867</v>
      </c>
      <c r="H39" s="220">
        <f t="shared" si="15"/>
        <v>2.1303833492826327</v>
      </c>
      <c r="I39" s="220">
        <f t="shared" si="15"/>
        <v>2.1096998871551524</v>
      </c>
      <c r="J39" s="220">
        <f t="shared" si="15"/>
        <v>2.0892164363795427</v>
      </c>
      <c r="K39" s="221">
        <f t="shared" si="15"/>
        <v>2.068933941047435</v>
      </c>
      <c r="N39" s="3559"/>
      <c r="O39" s="3561"/>
      <c r="Q39" s="92">
        <v>19</v>
      </c>
      <c r="R39" s="869">
        <f>-SUM(B32:K32) - SUM(B64:J64)</f>
        <v>122806</v>
      </c>
      <c r="S39" s="869">
        <f>SUM(B33:K33) + SUM(B65:J65)+R39</f>
        <v>4290669.1573035149</v>
      </c>
      <c r="Z39" s="1719" t="s">
        <v>6460</v>
      </c>
      <c r="AA39" s="1721">
        <v>39</v>
      </c>
    </row>
    <row r="40" spans="1:27" ht="13.35" customHeight="1">
      <c r="A40" s="341" t="s">
        <v>2405</v>
      </c>
      <c r="B40" s="177">
        <f>IF('Part II-Sources of Funds'!$I$40="","",-FV('Part II-Sources of Funds'!$K$40/12,12,B26/12,'Part II-Sources of Funds'!$I$40))</f>
        <v>7214293.8536506379</v>
      </c>
      <c r="C40" s="177">
        <f>IF('Part II-Sources of Funds'!$I$40="","",-FV('Part II-Sources of Funds'!$K$40/12,12,C26/12,B40))</f>
        <v>7150960.1639878536</v>
      </c>
      <c r="D40" s="177">
        <f>IF('Part II-Sources of Funds'!$I$40="","",-FV('Part II-Sources of Funds'!$K$40/12,12,D26/12,C40))</f>
        <v>7083552.7364802435</v>
      </c>
      <c r="E40" s="177">
        <f>IF('Part II-Sources of Funds'!$I$40="","",-FV('Part II-Sources of Funds'!$K$40/12,12,E26/12,D40))</f>
        <v>7011809.5409173984</v>
      </c>
      <c r="F40" s="177">
        <f>IF('Part II-Sources of Funds'!$I$40="","",-FV('Part II-Sources of Funds'!$K$40/12,12,F26/12,E40))</f>
        <v>6935451.6928302925</v>
      </c>
      <c r="G40" s="177">
        <f>IF('Part II-Sources of Funds'!$I$40="","",-FV('Part II-Sources of Funds'!$K$40/12,12,G26/12,F40))</f>
        <v>6854182.3693947885</v>
      </c>
      <c r="H40" s="177">
        <f>IF('Part II-Sources of Funds'!$I$40="","",-FV('Part II-Sources of Funds'!$K$40/12,12,H26/12,G40))</f>
        <v>6767685.6556040822</v>
      </c>
      <c r="I40" s="177">
        <f>IF('Part II-Sources of Funds'!$I$40="","",-FV('Part II-Sources of Funds'!$K$40/12,12,I26/12,H40))</f>
        <v>6675625.3162248721</v>
      </c>
      <c r="J40" s="177">
        <f>IF('Part II-Sources of Funds'!$I$40="","",-FV('Part II-Sources of Funds'!$K$40/12,12,J26/12,I40))</f>
        <v>6577643.4887635149</v>
      </c>
      <c r="K40" s="177">
        <f>IF('Part II-Sources of Funds'!$I$40="","",-FV('Part II-Sources of Funds'!$K$40/12,12,K26/12,J40))</f>
        <v>6473359.2923613964</v>
      </c>
      <c r="N40" s="3559"/>
      <c r="O40" s="3561"/>
      <c r="Q40" s="92">
        <v>20</v>
      </c>
      <c r="R40" s="869">
        <f>-SUM(B32:K32) - SUM(B64:K64)</f>
        <v>122806</v>
      </c>
      <c r="S40" s="869">
        <f>SUM(B33:K33) + SUM(B65:K65)+R40</f>
        <v>4593142.3136849636</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1548264.316746061</v>
      </c>
      <c r="C47" s="15">
        <f t="shared" si="17"/>
        <v>1579229.6030809819</v>
      </c>
      <c r="D47" s="15">
        <f t="shared" si="17"/>
        <v>1610814.1951426018</v>
      </c>
      <c r="E47" s="15">
        <f t="shared" si="17"/>
        <v>1643030.4790454537</v>
      </c>
      <c r="F47" s="15">
        <f t="shared" si="17"/>
        <v>1675891.0886263628</v>
      </c>
      <c r="G47" s="15">
        <f t="shared" si="17"/>
        <v>1709408.9103988898</v>
      </c>
      <c r="H47" s="15">
        <f t="shared" si="17"/>
        <v>1743597.0886068677</v>
      </c>
      <c r="I47" s="15">
        <f t="shared" si="17"/>
        <v>1778469.0303790052</v>
      </c>
      <c r="J47" s="15">
        <f t="shared" si="17"/>
        <v>1814038.4109865853</v>
      </c>
      <c r="K47" s="16">
        <f t="shared" si="17"/>
        <v>1850319.1792063168</v>
      </c>
      <c r="N47" s="3581"/>
      <c r="O47" s="3583"/>
      <c r="Z47" s="1719" t="s">
        <v>6461</v>
      </c>
      <c r="AA47" s="1721">
        <v>47</v>
      </c>
    </row>
    <row r="48" spans="1:27" ht="13.35" customHeight="1">
      <c r="A48" s="17" t="s">
        <v>952</v>
      </c>
      <c r="B48" s="18">
        <f t="shared" ref="B48:K48" si="18">$B$16*(1+$B$6)^(B46-1)</f>
        <v>30965.286334921217</v>
      </c>
      <c r="C48" s="18">
        <f t="shared" si="18"/>
        <v>31584.592061619638</v>
      </c>
      <c r="D48" s="18">
        <f t="shared" si="18"/>
        <v>32216.283902852036</v>
      </c>
      <c r="E48" s="18">
        <f t="shared" si="18"/>
        <v>32860.609580909077</v>
      </c>
      <c r="F48" s="18">
        <f t="shared" si="18"/>
        <v>33517.821772527255</v>
      </c>
      <c r="G48" s="18">
        <f t="shared" si="18"/>
        <v>34188.178207977791</v>
      </c>
      <c r="H48" s="18">
        <f t="shared" si="18"/>
        <v>34871.941772137354</v>
      </c>
      <c r="I48" s="18">
        <f t="shared" si="18"/>
        <v>35569.380607580104</v>
      </c>
      <c r="J48" s="18">
        <f t="shared" si="18"/>
        <v>36280.768219731704</v>
      </c>
      <c r="K48" s="19">
        <f t="shared" si="18"/>
        <v>37006.383584126335</v>
      </c>
      <c r="N48" s="3559"/>
      <c r="O48" s="3561"/>
      <c r="Z48" s="1719" t="s">
        <v>6461</v>
      </c>
      <c r="AA48" s="1721">
        <v>48</v>
      </c>
    </row>
    <row r="49" spans="1:27" ht="13.35" customHeight="1">
      <c r="A49" s="17" t="s">
        <v>2216</v>
      </c>
      <c r="B49" s="18">
        <f t="shared" ref="B49:K49" si="19">-(B47+B48)*$B$9</f>
        <v>-110546.07221566876</v>
      </c>
      <c r="C49" s="18">
        <f t="shared" si="19"/>
        <v>-112756.99365998212</v>
      </c>
      <c r="D49" s="18">
        <f t="shared" si="19"/>
        <v>-115012.13353318178</v>
      </c>
      <c r="E49" s="18">
        <f t="shared" si="19"/>
        <v>-117312.37620384542</v>
      </c>
      <c r="F49" s="18">
        <f t="shared" si="19"/>
        <v>-119658.62372792231</v>
      </c>
      <c r="G49" s="18">
        <f t="shared" si="19"/>
        <v>-122051.79620248073</v>
      </c>
      <c r="H49" s="18">
        <f t="shared" si="19"/>
        <v>-124492.83212653037</v>
      </c>
      <c r="I49" s="18">
        <f t="shared" si="19"/>
        <v>-126982.68876906099</v>
      </c>
      <c r="J49" s="18">
        <f t="shared" si="19"/>
        <v>-129522.3425444422</v>
      </c>
      <c r="K49" s="19">
        <f t="shared" si="19"/>
        <v>-132112.78939533103</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0">SUM(B47:B51)</f>
        <v>1468683.5308653133</v>
      </c>
      <c r="C52" s="18">
        <f t="shared" si="20"/>
        <v>1498057.2014826194</v>
      </c>
      <c r="D52" s="18">
        <f t="shared" si="20"/>
        <v>1528018.3455122721</v>
      </c>
      <c r="E52" s="18">
        <f t="shared" si="20"/>
        <v>1558578.7124225174</v>
      </c>
      <c r="F52" s="18">
        <f t="shared" si="20"/>
        <v>1589750.2866709677</v>
      </c>
      <c r="G52" s="18">
        <f t="shared" si="20"/>
        <v>1621545.2924043867</v>
      </c>
      <c r="H52" s="18">
        <f t="shared" si="20"/>
        <v>1653976.1982524747</v>
      </c>
      <c r="I52" s="18">
        <f t="shared" si="20"/>
        <v>1687055.7222175244</v>
      </c>
      <c r="J52" s="18">
        <f t="shared" si="20"/>
        <v>1720796.8366618748</v>
      </c>
      <c r="K52" s="19">
        <f t="shared" si="20"/>
        <v>1755212.7733951123</v>
      </c>
      <c r="N52" s="3559"/>
      <c r="O52" s="3561"/>
      <c r="Z52" s="1719" t="s">
        <v>6461</v>
      </c>
      <c r="AA52" s="1721">
        <v>52</v>
      </c>
    </row>
    <row r="53" spans="1:27" ht="13.35" customHeight="1">
      <c r="A53" s="17" t="s">
        <v>572</v>
      </c>
      <c r="B53" s="18">
        <f t="shared" ref="B53:K53" si="21">$B$21*(1+$B$7)^(B46-1)</f>
        <v>-605635.91635142849</v>
      </c>
      <c r="C53" s="18">
        <f t="shared" si="21"/>
        <v>-623804.99384197139</v>
      </c>
      <c r="D53" s="18">
        <f t="shared" si="21"/>
        <v>-642519.14365723042</v>
      </c>
      <c r="E53" s="18">
        <f t="shared" si="21"/>
        <v>-661794.71796694724</v>
      </c>
      <c r="F53" s="18">
        <f t="shared" si="21"/>
        <v>-681648.55950595578</v>
      </c>
      <c r="G53" s="18">
        <f t="shared" si="21"/>
        <v>-702098.01629113453</v>
      </c>
      <c r="H53" s="18">
        <f t="shared" si="21"/>
        <v>-723160.95677986834</v>
      </c>
      <c r="I53" s="18">
        <f t="shared" si="21"/>
        <v>-744855.78548326448</v>
      </c>
      <c r="J53" s="18">
        <f t="shared" si="21"/>
        <v>-767201.45904776244</v>
      </c>
      <c r="K53" s="19">
        <f t="shared" si="21"/>
        <v>-790217.50281919527</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-80960</v>
      </c>
      <c r="C54" s="18">
        <f>IF(AND('Part VI-Pro Forma'!$G$9="Yes",'Part VI-Pro Forma'!$G$10="Yes"),"Choose One!",IF('Part VI-Pro Forma'!$G$9="Yes",ROUND((-$K$9*(1+'Part VI-Pro Forma'!$B$7)^('Part VI-Pro Forma'!C46-1)),),IF('Part VI-Pro Forma'!$G$10="Yes",ROUND((-(SUM(C47:C50)*'Part VI-Pro Forma'!$K$10)),),"Choose mgt fee")))</f>
        <v>-83389</v>
      </c>
      <c r="D54" s="18">
        <f>IF(AND('Part VI-Pro Forma'!$G$9="Yes",'Part VI-Pro Forma'!$G$10="Yes"),"Choose One!",IF('Part VI-Pro Forma'!$G$9="Yes",ROUND((-$K$9*(1+'Part VI-Pro Forma'!$B$7)^('Part VI-Pro Forma'!D46-1)),),IF('Part VI-Pro Forma'!$G$10="Yes",ROUND((-(SUM(D47:D50)*'Part VI-Pro Forma'!$K$10)),),"Choose mgt fee")))</f>
        <v>-85891</v>
      </c>
      <c r="E54" s="18">
        <f>IF(AND('Part VI-Pro Forma'!$G$9="Yes",'Part VI-Pro Forma'!$G$10="Yes"),"Choose One!",IF('Part VI-Pro Forma'!$G$9="Yes",ROUND((-$K$9*(1+'Part VI-Pro Forma'!$B$7)^('Part VI-Pro Forma'!E46-1)),),IF('Part VI-Pro Forma'!$G$10="Yes",ROUND((-(SUM(E47:E50)*'Part VI-Pro Forma'!$K$10)),),"Choose mgt fee")))</f>
        <v>-88467</v>
      </c>
      <c r="F54" s="18">
        <f>IF(AND('Part VI-Pro Forma'!$G$9="Yes",'Part VI-Pro Forma'!$G$10="Yes"),"Choose One!",IF('Part VI-Pro Forma'!$G$9="Yes",ROUND((-$K$9*(1+'Part VI-Pro Forma'!$B$7)^('Part VI-Pro Forma'!F46-1)),),IF('Part VI-Pro Forma'!$G$10="Yes",ROUND((-(SUM(F47:F50)*'Part VI-Pro Forma'!$K$10)),),"Choose mgt fee")))</f>
        <v>-91121</v>
      </c>
      <c r="G54" s="18">
        <f>IF(AND('Part VI-Pro Forma'!$G$9="Yes",'Part VI-Pro Forma'!$G$10="Yes"),"Choose One!",IF('Part VI-Pro Forma'!$G$9="Yes",ROUND((-$K$9*(1+'Part VI-Pro Forma'!$B$7)^('Part VI-Pro Forma'!G46-1)),),IF('Part VI-Pro Forma'!$G$10="Yes",ROUND((-(SUM(G47:G50)*'Part VI-Pro Forma'!$K$10)),),"Choose mgt fee")))</f>
        <v>-93855</v>
      </c>
      <c r="H54" s="18">
        <f>IF(AND('Part VI-Pro Forma'!$G$9="Yes",'Part VI-Pro Forma'!$G$10="Yes"),"Choose One!",IF('Part VI-Pro Forma'!$G$9="Yes",ROUND((-$K$9*(1+'Part VI-Pro Forma'!$B$7)^('Part VI-Pro Forma'!H46-1)),),IF('Part VI-Pro Forma'!$G$10="Yes",ROUND((-(SUM(H47:H50)*'Part VI-Pro Forma'!$K$10)),),"Choose mgt fee")))</f>
        <v>-96671</v>
      </c>
      <c r="I54" s="18">
        <f>IF(AND('Part VI-Pro Forma'!$G$9="Yes",'Part VI-Pro Forma'!$G$10="Yes"),"Choose One!",IF('Part VI-Pro Forma'!$G$9="Yes",ROUND((-$K$9*(1+'Part VI-Pro Forma'!$B$7)^('Part VI-Pro Forma'!I46-1)),),IF('Part VI-Pro Forma'!$G$10="Yes",ROUND((-(SUM(I47:I50)*'Part VI-Pro Forma'!$K$10)),),"Choose mgt fee")))</f>
        <v>-99571</v>
      </c>
      <c r="J54" s="18">
        <f>IF(AND('Part VI-Pro Forma'!$G$9="Yes",'Part VI-Pro Forma'!$G$10="Yes"),"Choose One!",IF('Part VI-Pro Forma'!$G$9="Yes",ROUND((-$K$9*(1+'Part VI-Pro Forma'!$B$7)^('Part VI-Pro Forma'!J46-1)),),IF('Part VI-Pro Forma'!$G$10="Yes",ROUND((-(SUM(J47:J50)*'Part VI-Pro Forma'!$K$10)),),"Choose mgt fee")))</f>
        <v>-102558</v>
      </c>
      <c r="K54" s="19">
        <f>IF(AND('Part VI-Pro Forma'!$G$9="Yes",'Part VI-Pro Forma'!$G$10="Yes"),"Choose One!",IF('Part VI-Pro Forma'!$G$9="Yes",ROUND((-$K$9*(1+'Part VI-Pro Forma'!$B$7)^('Part VI-Pro Forma'!K46-1)),),IF('Part VI-Pro Forma'!$G$10="Yes",ROUND((-(SUM(K47:K50)*'Part VI-Pro Forma'!$K$10)),),"Choose mgt fee")))</f>
        <v>-105635</v>
      </c>
      <c r="N54" s="3559"/>
      <c r="O54" s="3561"/>
      <c r="Z54" s="1719" t="s">
        <v>6461</v>
      </c>
      <c r="AA54" s="1721">
        <v>54</v>
      </c>
    </row>
    <row r="55" spans="1:27" ht="13.35" customHeight="1">
      <c r="A55" s="17" t="s">
        <v>1128</v>
      </c>
      <c r="B55" s="18">
        <f t="shared" ref="B55:K55" si="22">$B$23*(1+$B$8)^(B46-1)</f>
        <v>-30238.118535242738</v>
      </c>
      <c r="C55" s="18">
        <f t="shared" si="22"/>
        <v>-31145.262091300025</v>
      </c>
      <c r="D55" s="18">
        <f t="shared" si="22"/>
        <v>-32079.619954039019</v>
      </c>
      <c r="E55" s="18">
        <f t="shared" si="22"/>
        <v>-33042.008552660191</v>
      </c>
      <c r="F55" s="18">
        <f t="shared" si="22"/>
        <v>-34033.268809239999</v>
      </c>
      <c r="G55" s="18">
        <f t="shared" si="22"/>
        <v>-35054.266873517197</v>
      </c>
      <c r="H55" s="18">
        <f t="shared" si="22"/>
        <v>-36105.894879722706</v>
      </c>
      <c r="I55" s="18">
        <f t="shared" si="22"/>
        <v>-37189.071726114387</v>
      </c>
      <c r="J55" s="18">
        <f t="shared" si="22"/>
        <v>-38304.743877897825</v>
      </c>
      <c r="K55" s="19">
        <f t="shared" si="22"/>
        <v>-39453.886194234758</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3">SUM(B52:B56)</f>
        <v>751849.49597864202</v>
      </c>
      <c r="C57" s="18">
        <f t="shared" si="23"/>
        <v>759717.94554934802</v>
      </c>
      <c r="D57" s="18">
        <f t="shared" si="23"/>
        <v>767528.58190100268</v>
      </c>
      <c r="E57" s="18">
        <f t="shared" si="23"/>
        <v>775274.98590290989</v>
      </c>
      <c r="F57" s="18">
        <f t="shared" si="23"/>
        <v>782947.45835577196</v>
      </c>
      <c r="G57" s="18">
        <f t="shared" si="23"/>
        <v>790538.00923973497</v>
      </c>
      <c r="H57" s="18">
        <f t="shared" si="23"/>
        <v>798038.34659288358</v>
      </c>
      <c r="I57" s="18">
        <f t="shared" si="23"/>
        <v>805439.86500814557</v>
      </c>
      <c r="J57" s="18">
        <f t="shared" si="23"/>
        <v>812732.63373621448</v>
      </c>
      <c r="K57" s="1215">
        <f t="shared" si="23"/>
        <v>819906.38438168226</v>
      </c>
      <c r="N57" s="3559"/>
      <c r="O57" s="3561"/>
      <c r="Z57" s="1719" t="s">
        <v>6461</v>
      </c>
      <c r="AA57" s="1721">
        <v>57</v>
      </c>
    </row>
    <row r="58" spans="1:27" ht="13.35" customHeight="1">
      <c r="A58" s="17" t="str">
        <f>$A26</f>
        <v>Mortgage A</v>
      </c>
      <c r="B58" s="342">
        <f>IF('Part II-Sources of Funds'!$P$40="", 0,-'Part II-Sources of Funds'!$P$40)</f>
        <v>-512433.2280002333</v>
      </c>
      <c r="C58" s="342">
        <f>IF('Part II-Sources of Funds'!$P$40="", 0,-'Part II-Sources of Funds'!$P$40)</f>
        <v>-512433.2280002333</v>
      </c>
      <c r="D58" s="342">
        <f>IF('Part II-Sources of Funds'!$P$40="", 0,-'Part II-Sources of Funds'!$P$40)</f>
        <v>-512433.2280002333</v>
      </c>
      <c r="E58" s="342">
        <f>IF('Part II-Sources of Funds'!$P$40="", 0,-'Part II-Sources of Funds'!$P$40)</f>
        <v>-512433.2280002333</v>
      </c>
      <c r="F58" s="342">
        <f>IF('Part II-Sources of Funds'!$P$40="", 0,-'Part II-Sources of Funds'!$P$40)</f>
        <v>-512433.2280002333</v>
      </c>
      <c r="G58" s="342">
        <f>IF('Part II-Sources of Funds'!$P$40="", 0,-'Part II-Sources of Funds'!$P$40)</f>
        <v>-512433.2280002333</v>
      </c>
      <c r="H58" s="342">
        <f>IF('Part II-Sources of Funds'!$P$40="", 0,-'Part II-Sources of Funds'!$P$40)</f>
        <v>-512433.2280002333</v>
      </c>
      <c r="I58" s="342">
        <f>IF('Part II-Sources of Funds'!$P$40="", 0,-'Part II-Sources of Funds'!$P$40)</f>
        <v>-512433.2280002333</v>
      </c>
      <c r="J58" s="342">
        <f>IF('Part II-Sources of Funds'!$P$40="", 0,-'Part II-Sources of Funds'!$P$40)</f>
        <v>-512433.2280002333</v>
      </c>
      <c r="K58" s="342">
        <f>IF('Part II-Sources of Funds'!$P$40="", 0,-'Part II-Sources of Funds'!$P$40)</f>
        <v>-512433.2280002333</v>
      </c>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59"/>
      <c r="O63" s="3561"/>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6461</v>
      </c>
      <c r="AA64" s="1721">
        <v>64</v>
      </c>
    </row>
    <row r="65" spans="1:27" ht="13.35" customHeight="1">
      <c r="A65" s="17" t="s">
        <v>1096</v>
      </c>
      <c r="B65" s="18">
        <f t="shared" ref="B65:K65" si="25">SUM(B57:B64)</f>
        <v>234416.26797840872</v>
      </c>
      <c r="C65" s="18">
        <f t="shared" si="25"/>
        <v>242284.71754911472</v>
      </c>
      <c r="D65" s="18">
        <f t="shared" si="25"/>
        <v>250095.35390076938</v>
      </c>
      <c r="E65" s="18">
        <f t="shared" si="25"/>
        <v>257841.75790267659</v>
      </c>
      <c r="F65" s="18">
        <f t="shared" si="25"/>
        <v>265514.23035553866</v>
      </c>
      <c r="G65" s="18">
        <f t="shared" si="25"/>
        <v>273104.78123950167</v>
      </c>
      <c r="H65" s="18">
        <f t="shared" si="25"/>
        <v>280605.11859265028</v>
      </c>
      <c r="I65" s="18">
        <f t="shared" si="25"/>
        <v>288006.63700791227</v>
      </c>
      <c r="J65" s="18">
        <f t="shared" si="25"/>
        <v>295299.40573598118</v>
      </c>
      <c r="K65" s="497">
        <f t="shared" si="25"/>
        <v>302473.15638144896</v>
      </c>
      <c r="N65" s="3559"/>
      <c r="O65" s="3561"/>
      <c r="Z65" s="1719" t="s">
        <v>6461</v>
      </c>
      <c r="AA65" s="1721">
        <v>65</v>
      </c>
    </row>
    <row r="66" spans="1:27" ht="13.35" customHeight="1">
      <c r="A66" s="17" t="str">
        <f>$A34</f>
        <v>DCR Mortgage A</v>
      </c>
      <c r="B66" s="20">
        <f t="shared" ref="B66:K66" si="26">IF(B58=0,"",-B57/B58)</f>
        <v>1.4672145655205242</v>
      </c>
      <c r="C66" s="20">
        <f t="shared" si="26"/>
        <v>1.482569638417363</v>
      </c>
      <c r="D66" s="20">
        <f t="shared" si="26"/>
        <v>1.4978118903340383</v>
      </c>
      <c r="E66" s="20">
        <f t="shared" si="26"/>
        <v>1.512928794505412</v>
      </c>
      <c r="F66" s="20">
        <f t="shared" si="26"/>
        <v>1.5279014231985275</v>
      </c>
      <c r="G66" s="20">
        <f t="shared" si="26"/>
        <v>1.5427141840992697</v>
      </c>
      <c r="H66" s="20">
        <f t="shared" si="26"/>
        <v>1.557350895661513</v>
      </c>
      <c r="I66" s="20">
        <f t="shared" si="26"/>
        <v>1.571794764659131</v>
      </c>
      <c r="J66" s="20">
        <f t="shared" si="26"/>
        <v>1.5860264114954006</v>
      </c>
      <c r="K66" s="21">
        <f t="shared" si="26"/>
        <v>1.6000257976660892</v>
      </c>
      <c r="N66" s="3559"/>
      <c r="O66" s="3561"/>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6461</v>
      </c>
      <c r="AA69" s="1721">
        <v>69</v>
      </c>
    </row>
    <row r="70" spans="1:27" ht="13.35" customHeight="1">
      <c r="A70" s="341" t="s">
        <v>3213</v>
      </c>
      <c r="B70" s="20">
        <f t="shared" ref="B70:K70" si="30">IF(AND(B58=0,B59=0,B60=0,B61=0),"",-B57/(B58+B59+B60+B61))</f>
        <v>1.4672145655205242</v>
      </c>
      <c r="C70" s="20">
        <f t="shared" si="30"/>
        <v>1.482569638417363</v>
      </c>
      <c r="D70" s="20">
        <f t="shared" si="30"/>
        <v>1.4978118903340383</v>
      </c>
      <c r="E70" s="20">
        <f t="shared" si="30"/>
        <v>1.512928794505412</v>
      </c>
      <c r="F70" s="20">
        <f t="shared" si="30"/>
        <v>1.5279014231985275</v>
      </c>
      <c r="G70" s="20">
        <f t="shared" si="30"/>
        <v>1.5427141840992697</v>
      </c>
      <c r="H70" s="20">
        <f t="shared" si="30"/>
        <v>1.557350895661513</v>
      </c>
      <c r="I70" s="20">
        <f t="shared" si="30"/>
        <v>1.571794764659131</v>
      </c>
      <c r="J70" s="20">
        <f t="shared" si="30"/>
        <v>1.5860264114954006</v>
      </c>
      <c r="K70" s="21">
        <f t="shared" si="30"/>
        <v>1.6000257976660892</v>
      </c>
      <c r="N70" s="3559"/>
      <c r="O70" s="3561"/>
      <c r="Z70" s="1719" t="s">
        <v>6461</v>
      </c>
      <c r="AA70" s="1721">
        <v>70</v>
      </c>
    </row>
    <row r="71" spans="1:27" ht="13.35" customHeight="1">
      <c r="A71" s="17" t="s">
        <v>718</v>
      </c>
      <c r="B71" s="220">
        <f t="shared" ref="B71:K71" si="31">IF(OR(B54="Choose mgt fee",B54="Choose One!"),"",(B47+B48+B49+B50+B51) / -(B53+B54+B55))</f>
        <v>2.0488473752470564</v>
      </c>
      <c r="C71" s="220">
        <f t="shared" si="31"/>
        <v>2.0289551035574473</v>
      </c>
      <c r="D71" s="220">
        <f t="shared" si="31"/>
        <v>2.0092556384405604</v>
      </c>
      <c r="E71" s="220">
        <f t="shared" si="31"/>
        <v>1.989750156491185</v>
      </c>
      <c r="F71" s="220">
        <f t="shared" si="31"/>
        <v>1.9704322182295273</v>
      </c>
      <c r="G71" s="220">
        <f t="shared" si="31"/>
        <v>1.9513009395407448</v>
      </c>
      <c r="H71" s="220">
        <f t="shared" si="31"/>
        <v>1.9323554800685059</v>
      </c>
      <c r="I71" s="220">
        <f t="shared" si="31"/>
        <v>1.9135950294243154</v>
      </c>
      <c r="J71" s="220">
        <f t="shared" si="31"/>
        <v>1.8950167081993758</v>
      </c>
      <c r="K71" s="221">
        <f t="shared" si="31"/>
        <v>1.8766179660619311</v>
      </c>
      <c r="N71" s="3559"/>
      <c r="O71" s="3561"/>
      <c r="Z71" s="1719" t="s">
        <v>6461</v>
      </c>
      <c r="AA71" s="1721">
        <v>71</v>
      </c>
    </row>
    <row r="72" spans="1:27" ht="13.35" customHeight="1">
      <c r="A72" s="341" t="s">
        <v>2405</v>
      </c>
      <c r="B72" s="177">
        <f>IF('Part II-Sources of Funds'!$I$40="","",-FV('Part II-Sources of Funds'!$K$40/12,12,B58/12,K40))</f>
        <v>6362367.347211929</v>
      </c>
      <c r="C72" s="177">
        <f>IF('Part II-Sources of Funds'!$I$40="","",-FV('Part II-Sources of Funds'!$K$40/12,12,C58/12,B72))</f>
        <v>6244236.1987437597</v>
      </c>
      <c r="D72" s="177">
        <f>IF('Part II-Sources of Funds'!$I$40="","",-FV('Part II-Sources of Funds'!$K$40/12,12,D58/12,C72))</f>
        <v>6118506.6404445851</v>
      </c>
      <c r="E72" s="177">
        <f>IF('Part II-Sources of Funds'!$I$40="","",-FV('Part II-Sources of Funds'!$K$40/12,12,E58/12,D72))</f>
        <v>5984689.9288059529</v>
      </c>
      <c r="F72" s="177">
        <f>IF('Part II-Sources of Funds'!$I$40="","",-FV('Part II-Sources of Funds'!$K$40/12,12,F58/12,E72))</f>
        <v>5842265.8834500695</v>
      </c>
      <c r="G72" s="177">
        <f>IF('Part II-Sources of Funds'!$I$40="","",-FV('Part II-Sources of Funds'!$K$40/12,12,G58/12,F72))</f>
        <v>5690680.8650533194</v>
      </c>
      <c r="H72" s="177">
        <f>IF('Part II-Sources of Funds'!$I$40="","",-FV('Part II-Sources of Funds'!$K$40/12,12,H58/12,G72))</f>
        <v>5529345.6232061535</v>
      </c>
      <c r="I72" s="177">
        <f>IF('Part II-Sources of Funds'!$I$40="","",-FV('Part II-Sources of Funds'!$K$40/12,12,I58/12,H72))</f>
        <v>5357633.0058434233</v>
      </c>
      <c r="J72" s="177">
        <f>IF('Part II-Sources of Funds'!$I$40="","",-FV('Part II-Sources of Funds'!$K$40/12,12,J58/12,I72))</f>
        <v>5174875.5213411162</v>
      </c>
      <c r="K72" s="177">
        <f>IF('Part II-Sources of Funds'!$I$40="","",-FV('Part II-Sources of Funds'!$K$40/12,12,K58/12,J72))</f>
        <v>4980362.7438027291</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1887325.5627904434</v>
      </c>
      <c r="C79" s="15">
        <f t="shared" si="33"/>
        <v>1925072.0740462521</v>
      </c>
      <c r="D79" s="15">
        <f t="shared" si="33"/>
        <v>1963573.5155271771</v>
      </c>
      <c r="E79" s="15">
        <f t="shared" si="33"/>
        <v>2002844.9858377203</v>
      </c>
      <c r="F79" s="15">
        <f t="shared" si="33"/>
        <v>2042901.885554475</v>
      </c>
      <c r="G79" s="15">
        <f t="shared" si="33"/>
        <v>2083759.9232655645</v>
      </c>
      <c r="H79" s="15">
        <f t="shared" si="33"/>
        <v>2125435.1217308762</v>
      </c>
      <c r="I79" s="15">
        <f t="shared" si="33"/>
        <v>2167943.8241654932</v>
      </c>
      <c r="J79" s="15">
        <f t="shared" si="33"/>
        <v>2211302.7006488033</v>
      </c>
      <c r="K79" s="16">
        <f t="shared" si="33"/>
        <v>2255528.7546617789</v>
      </c>
      <c r="N79" s="3581"/>
      <c r="O79" s="3583"/>
      <c r="Z79" s="1719" t="s">
        <v>6462</v>
      </c>
      <c r="AA79" s="1721">
        <v>79</v>
      </c>
    </row>
    <row r="80" spans="1:27" ht="13.35" customHeight="1">
      <c r="A80" s="17" t="s">
        <v>952</v>
      </c>
      <c r="B80" s="18">
        <f t="shared" ref="B80:K80" si="34">$B$16*(1+$B$6)^(B78-1)</f>
        <v>37746.511255808866</v>
      </c>
      <c r="C80" s="18">
        <f t="shared" si="34"/>
        <v>38501.441480925045</v>
      </c>
      <c r="D80" s="18">
        <f t="shared" si="34"/>
        <v>39271.470310543547</v>
      </c>
      <c r="E80" s="18">
        <f t="shared" si="34"/>
        <v>40056.899716754408</v>
      </c>
      <c r="F80" s="18">
        <f t="shared" si="34"/>
        <v>40858.037711089499</v>
      </c>
      <c r="G80" s="18">
        <f t="shared" si="34"/>
        <v>41675.198465311289</v>
      </c>
      <c r="H80" s="18">
        <f t="shared" si="34"/>
        <v>42508.702434617517</v>
      </c>
      <c r="I80" s="18">
        <f t="shared" si="34"/>
        <v>43358.876483309861</v>
      </c>
      <c r="J80" s="18">
        <f t="shared" si="34"/>
        <v>44226.05401297607</v>
      </c>
      <c r="K80" s="19">
        <f t="shared" si="34"/>
        <v>45110.57509323558</v>
      </c>
      <c r="N80" s="3559"/>
      <c r="O80" s="3561"/>
      <c r="Z80" s="1719" t="s">
        <v>6462</v>
      </c>
      <c r="AA80" s="1721">
        <v>80</v>
      </c>
    </row>
    <row r="81" spans="1:27" ht="13.35" customHeight="1">
      <c r="A81" s="17" t="s">
        <v>2216</v>
      </c>
      <c r="B81" s="18">
        <f t="shared" ref="B81:K81" si="35">-(B79+B80)*$B$9</f>
        <v>-134755.04518323767</v>
      </c>
      <c r="C81" s="18">
        <f t="shared" si="35"/>
        <v>-137450.14608690242</v>
      </c>
      <c r="D81" s="18">
        <f t="shared" si="35"/>
        <v>-140199.14900864047</v>
      </c>
      <c r="E81" s="18">
        <f t="shared" si="35"/>
        <v>-143003.13198881326</v>
      </c>
      <c r="F81" s="18">
        <f t="shared" si="35"/>
        <v>-145863.19462858952</v>
      </c>
      <c r="G81" s="18">
        <f t="shared" si="35"/>
        <v>-148780.45852116132</v>
      </c>
      <c r="H81" s="18">
        <f t="shared" si="35"/>
        <v>-151756.06769158458</v>
      </c>
      <c r="I81" s="18">
        <f t="shared" si="35"/>
        <v>-154791.18904541625</v>
      </c>
      <c r="J81" s="18">
        <f t="shared" si="35"/>
        <v>-157887.01282632459</v>
      </c>
      <c r="K81" s="19">
        <f t="shared" si="35"/>
        <v>-161044.75308285101</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36">SUM(B79:B83)</f>
        <v>1790317.0288630147</v>
      </c>
      <c r="C84" s="18">
        <f t="shared" si="36"/>
        <v>1826123.3694402748</v>
      </c>
      <c r="D84" s="18">
        <f t="shared" si="36"/>
        <v>1862645.8368290802</v>
      </c>
      <c r="E84" s="18">
        <f t="shared" si="36"/>
        <v>1899898.7535656616</v>
      </c>
      <c r="F84" s="18">
        <f t="shared" si="36"/>
        <v>1937896.7286369749</v>
      </c>
      <c r="G84" s="18">
        <f t="shared" si="36"/>
        <v>1976654.6632097145</v>
      </c>
      <c r="H84" s="18">
        <f t="shared" si="36"/>
        <v>2016187.7564739091</v>
      </c>
      <c r="I84" s="18">
        <f t="shared" si="36"/>
        <v>2056511.5116033871</v>
      </c>
      <c r="J84" s="18">
        <f t="shared" si="36"/>
        <v>2097641.7418354549</v>
      </c>
      <c r="K84" s="19">
        <f t="shared" si="36"/>
        <v>2139594.5766721633</v>
      </c>
      <c r="N84" s="3559"/>
      <c r="O84" s="3561"/>
      <c r="Z84" s="1719" t="s">
        <v>6462</v>
      </c>
      <c r="AA84" s="1721">
        <v>84</v>
      </c>
    </row>
    <row r="85" spans="1:27" ht="13.35" customHeight="1">
      <c r="A85" s="17" t="s">
        <v>572</v>
      </c>
      <c r="B85" s="18">
        <f t="shared" ref="B85:K85" si="37">$B$21*(1+$B$7)^(B78-1)</f>
        <v>-813924.02790377103</v>
      </c>
      <c r="C85" s="18">
        <f t="shared" si="37"/>
        <v>-838341.74874088413</v>
      </c>
      <c r="D85" s="18">
        <f t="shared" si="37"/>
        <v>-863492.00120311067</v>
      </c>
      <c r="E85" s="18">
        <f t="shared" si="37"/>
        <v>-889396.76123920409</v>
      </c>
      <c r="F85" s="18">
        <f t="shared" si="37"/>
        <v>-916078.66407638008</v>
      </c>
      <c r="G85" s="18">
        <f t="shared" si="37"/>
        <v>-943561.02399867144</v>
      </c>
      <c r="H85" s="18">
        <f t="shared" si="37"/>
        <v>-971867.85471863172</v>
      </c>
      <c r="I85" s="18">
        <f t="shared" si="37"/>
        <v>-1001023.8903601905</v>
      </c>
      <c r="J85" s="18">
        <f t="shared" si="37"/>
        <v>-1031054.6070709963</v>
      </c>
      <c r="K85" s="19">
        <f t="shared" si="37"/>
        <v>-1061986.2452831261</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-108804</v>
      </c>
      <c r="C86" s="18">
        <f>IF(AND('Part VI-Pro Forma'!$G$9="Yes",'Part VI-Pro Forma'!$G$10="Yes"),"Choose One!",IF('Part VI-Pro Forma'!$G$9="Yes",ROUND((-$K$9*(1+'Part VI-Pro Forma'!$B$7)^('Part VI-Pro Forma'!C78-1)),),IF('Part VI-Pro Forma'!$G$10="Yes",ROUND((-(SUM(C79:C82)*'Part VI-Pro Forma'!$K$10)),),"Choose mgt fee")))</f>
        <v>-112068</v>
      </c>
      <c r="D86" s="18">
        <f>IF(AND('Part VI-Pro Forma'!$G$9="Yes",'Part VI-Pro Forma'!$G$10="Yes"),"Choose One!",IF('Part VI-Pro Forma'!$G$9="Yes",ROUND((-$K$9*(1+'Part VI-Pro Forma'!$B$7)^('Part VI-Pro Forma'!D78-1)),),IF('Part VI-Pro Forma'!$G$10="Yes",ROUND((-(SUM(D79:D82)*'Part VI-Pro Forma'!$K$10)),),"Choose mgt fee")))</f>
        <v>-115430</v>
      </c>
      <c r="E86" s="18">
        <f>IF(AND('Part VI-Pro Forma'!$G$9="Yes",'Part VI-Pro Forma'!$G$10="Yes"),"Choose One!",IF('Part VI-Pro Forma'!$G$9="Yes",ROUND((-$K$9*(1+'Part VI-Pro Forma'!$B$7)^('Part VI-Pro Forma'!E78-1)),),IF('Part VI-Pro Forma'!$G$10="Yes",ROUND((-(SUM(E79:E82)*'Part VI-Pro Forma'!$K$10)),),"Choose mgt fee")))</f>
        <v>-118893</v>
      </c>
      <c r="F86" s="18">
        <f>IF(AND('Part VI-Pro Forma'!$G$9="Yes",'Part VI-Pro Forma'!$G$10="Yes"),"Choose One!",IF('Part VI-Pro Forma'!$G$9="Yes",ROUND((-$K$9*(1+'Part VI-Pro Forma'!$B$7)^('Part VI-Pro Forma'!F78-1)),),IF('Part VI-Pro Forma'!$G$10="Yes",ROUND((-(SUM(F79:F82)*'Part VI-Pro Forma'!$K$10)),),"Choose mgt fee")))</f>
        <v>-122460</v>
      </c>
      <c r="G86" s="18">
        <f>IF(AND('Part VI-Pro Forma'!$G$9="Yes",'Part VI-Pro Forma'!$G$10="Yes"),"Choose One!",IF('Part VI-Pro Forma'!$G$9="Yes",ROUND((-$K$9*(1+'Part VI-Pro Forma'!$B$7)^('Part VI-Pro Forma'!G78-1)),),IF('Part VI-Pro Forma'!$G$10="Yes",ROUND((-(SUM(G79:G82)*'Part VI-Pro Forma'!$K$10)),),"Choose mgt fee")))</f>
        <v>-126133</v>
      </c>
      <c r="H86" s="18">
        <f>IF(AND('Part VI-Pro Forma'!$G$9="Yes",'Part VI-Pro Forma'!$G$10="Yes"),"Choose One!",IF('Part VI-Pro Forma'!$G$9="Yes",ROUND((-$K$9*(1+'Part VI-Pro Forma'!$B$7)^('Part VI-Pro Forma'!H78-1)),),IF('Part VI-Pro Forma'!$G$10="Yes",ROUND((-(SUM(H79:H82)*'Part VI-Pro Forma'!$K$10)),),"Choose mgt fee")))</f>
        <v>-129917</v>
      </c>
      <c r="I86" s="18">
        <f>IF(AND('Part VI-Pro Forma'!$G$9="Yes",'Part VI-Pro Forma'!$G$10="Yes"),"Choose One!",IF('Part VI-Pro Forma'!$G$9="Yes",ROUND((-$K$9*(1+'Part VI-Pro Forma'!$B$7)^('Part VI-Pro Forma'!I78-1)),),IF('Part VI-Pro Forma'!$G$10="Yes",ROUND((-(SUM(I79:I82)*'Part VI-Pro Forma'!$K$10)),),"Choose mgt fee")))</f>
        <v>-133815</v>
      </c>
      <c r="J86" s="18">
        <f>IF(AND('Part VI-Pro Forma'!$G$9="Yes",'Part VI-Pro Forma'!$G$10="Yes"),"Choose One!",IF('Part VI-Pro Forma'!$G$9="Yes",ROUND((-$K$9*(1+'Part VI-Pro Forma'!$B$7)^('Part VI-Pro Forma'!J78-1)),),IF('Part VI-Pro Forma'!$G$10="Yes",ROUND((-(SUM(J79:J82)*'Part VI-Pro Forma'!$K$10)),),"Choose mgt fee")))</f>
        <v>-137829</v>
      </c>
      <c r="K86" s="19">
        <f>IF(AND('Part VI-Pro Forma'!$G$9="Yes",'Part VI-Pro Forma'!$G$10="Yes"),"Choose One!",IF('Part VI-Pro Forma'!$G$9="Yes",ROUND((-$K$9*(1+'Part VI-Pro Forma'!$B$7)^('Part VI-Pro Forma'!K78-1)),),IF('Part VI-Pro Forma'!$G$10="Yes",ROUND((-(SUM(K79:K82)*'Part VI-Pro Forma'!$K$10)),),"Choose mgt fee")))</f>
        <v>-141964</v>
      </c>
      <c r="N86" s="3559"/>
      <c r="O86" s="3561"/>
      <c r="Z86" s="1719" t="s">
        <v>6462</v>
      </c>
      <c r="AA86" s="1721">
        <v>86</v>
      </c>
    </row>
    <row r="87" spans="1:27" ht="13.35" customHeight="1">
      <c r="A87" s="17" t="s">
        <v>1128</v>
      </c>
      <c r="B87" s="18">
        <f t="shared" ref="B87:K87" si="38">$B$23*(1+$B$8)^(B78-1)</f>
        <v>-40637.502780061797</v>
      </c>
      <c r="C87" s="18">
        <f t="shared" si="38"/>
        <v>-41856.627863463647</v>
      </c>
      <c r="D87" s="18">
        <f t="shared" si="38"/>
        <v>-43112.326699367557</v>
      </c>
      <c r="E87" s="18">
        <f t="shared" si="38"/>
        <v>-44405.696500348589</v>
      </c>
      <c r="F87" s="18">
        <f t="shared" si="38"/>
        <v>-45737.867395359041</v>
      </c>
      <c r="G87" s="18">
        <f t="shared" si="38"/>
        <v>-47110.003417219814</v>
      </c>
      <c r="H87" s="18">
        <f t="shared" si="38"/>
        <v>-48523.303519736415</v>
      </c>
      <c r="I87" s="18">
        <f t="shared" si="38"/>
        <v>-49979.002625328496</v>
      </c>
      <c r="J87" s="18">
        <f t="shared" si="38"/>
        <v>-51478.372704088353</v>
      </c>
      <c r="K87" s="19">
        <f t="shared" si="38"/>
        <v>-53022.723885211002</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39">SUM(B84:B88)</f>
        <v>826951.49817918183</v>
      </c>
      <c r="C89" s="18">
        <f t="shared" si="39"/>
        <v>833856.99283592706</v>
      </c>
      <c r="D89" s="18">
        <f t="shared" si="39"/>
        <v>840611.50892660196</v>
      </c>
      <c r="E89" s="18">
        <f t="shared" si="39"/>
        <v>847203.29582610889</v>
      </c>
      <c r="F89" s="18">
        <f t="shared" si="39"/>
        <v>853620.19716523576</v>
      </c>
      <c r="G89" s="18">
        <f t="shared" si="39"/>
        <v>859850.63579382317</v>
      </c>
      <c r="H89" s="18">
        <f t="shared" si="39"/>
        <v>865879.59823554102</v>
      </c>
      <c r="I89" s="18">
        <f t="shared" si="39"/>
        <v>871693.61861786805</v>
      </c>
      <c r="J89" s="18">
        <f t="shared" si="39"/>
        <v>877279.76206037018</v>
      </c>
      <c r="K89" s="1215">
        <f t="shared" si="39"/>
        <v>882621.60750382615</v>
      </c>
      <c r="N89" s="3559"/>
      <c r="O89" s="3561"/>
      <c r="Z89" s="1719" t="s">
        <v>6462</v>
      </c>
      <c r="AA89" s="1721">
        <v>89</v>
      </c>
    </row>
    <row r="90" spans="1:27" ht="13.35" customHeight="1">
      <c r="A90" s="17" t="str">
        <f>$A58</f>
        <v>Mortgage A</v>
      </c>
      <c r="B90" s="342">
        <f>IF('Part II-Sources of Funds'!$P$40="", 0,-'Part II-Sources of Funds'!$P$40)</f>
        <v>-512433.2280002333</v>
      </c>
      <c r="C90" s="342">
        <f>IF('Part II-Sources of Funds'!$P$40="", 0,-'Part II-Sources of Funds'!$P$40)</f>
        <v>-512433.2280002333</v>
      </c>
      <c r="D90" s="342">
        <f>IF('Part II-Sources of Funds'!$P$40="", 0,-'Part II-Sources of Funds'!$P$40)</f>
        <v>-512433.2280002333</v>
      </c>
      <c r="E90" s="342">
        <f>IF('Part II-Sources of Funds'!$P$40="", 0,-'Part II-Sources of Funds'!$P$40)</f>
        <v>-512433.2280002333</v>
      </c>
      <c r="F90" s="342">
        <f>IF('Part II-Sources of Funds'!$P$40="", 0,-'Part II-Sources of Funds'!$P$40)</f>
        <v>-512433.2280002333</v>
      </c>
      <c r="G90" s="342">
        <f>IF('Part II-Sources of Funds'!$P$40="", 0,-'Part II-Sources of Funds'!$P$40)</f>
        <v>-512433.2280002333</v>
      </c>
      <c r="H90" s="342">
        <f>IF('Part II-Sources of Funds'!$P$40="", 0,-'Part II-Sources of Funds'!$P$40)</f>
        <v>-512433.2280002333</v>
      </c>
      <c r="I90" s="342">
        <f>IF('Part II-Sources of Funds'!$P$40="", 0,-'Part II-Sources of Funds'!$P$40)</f>
        <v>-512433.2280002333</v>
      </c>
      <c r="J90" s="342">
        <f>IF('Part II-Sources of Funds'!$P$40="", 0,-'Part II-Sources of Funds'!$P$40)</f>
        <v>-512433.2280002333</v>
      </c>
      <c r="K90" s="342">
        <f>IF('Part II-Sources of Funds'!$P$40="", 0,-'Part II-Sources of Funds'!$P$40)</f>
        <v>-512433.2280002333</v>
      </c>
      <c r="N90" s="3559"/>
      <c r="O90" s="3561"/>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59"/>
      <c r="O95" s="3561"/>
      <c r="Z95" s="1719" t="s">
        <v>6462</v>
      </c>
      <c r="AA95" s="1721">
        <v>95</v>
      </c>
    </row>
    <row r="96" spans="1:27" ht="13.35" customHeight="1">
      <c r="A96" s="17" t="s">
        <v>1096</v>
      </c>
      <c r="B96" s="18">
        <f t="shared" ref="B96:K96" si="41">SUM(B89:B95)</f>
        <v>309518.27017894853</v>
      </c>
      <c r="C96" s="18">
        <f t="shared" si="41"/>
        <v>316423.76483569376</v>
      </c>
      <c r="D96" s="18">
        <f t="shared" si="41"/>
        <v>323178.28092636866</v>
      </c>
      <c r="E96" s="18">
        <f t="shared" si="41"/>
        <v>329770.06782587559</v>
      </c>
      <c r="F96" s="18">
        <f t="shared" si="41"/>
        <v>336186.96916500246</v>
      </c>
      <c r="G96" s="18">
        <f t="shared" si="41"/>
        <v>342417.40779358987</v>
      </c>
      <c r="H96" s="18">
        <f t="shared" si="41"/>
        <v>348446.37023530772</v>
      </c>
      <c r="I96" s="18">
        <f t="shared" si="41"/>
        <v>354260.39061763475</v>
      </c>
      <c r="J96" s="18">
        <f t="shared" si="41"/>
        <v>359846.53406013688</v>
      </c>
      <c r="K96" s="19">
        <f t="shared" si="41"/>
        <v>365188.37950359285</v>
      </c>
      <c r="N96" s="3559"/>
      <c r="O96" s="3561"/>
      <c r="Z96" s="1719" t="s">
        <v>6462</v>
      </c>
      <c r="AA96" s="1721">
        <v>96</v>
      </c>
    </row>
    <row r="97" spans="1:27" ht="13.35" customHeight="1">
      <c r="A97" s="17" t="str">
        <f>$A66</f>
        <v>DCR Mortgage A</v>
      </c>
      <c r="B97" s="20">
        <f t="shared" ref="B97:K97" si="42">IF(B90=0,"",-B89/B90)</f>
        <v>1.6137741524029456</v>
      </c>
      <c r="C97" s="20">
        <f t="shared" si="42"/>
        <v>1.6272500440497342</v>
      </c>
      <c r="D97" s="20">
        <f t="shared" si="42"/>
        <v>1.640431304985982</v>
      </c>
      <c r="E97" s="20">
        <f t="shared" si="42"/>
        <v>1.6532950041751062</v>
      </c>
      <c r="F97" s="20">
        <f t="shared" si="42"/>
        <v>1.6658174187815298</v>
      </c>
      <c r="G97" s="20">
        <f t="shared" si="42"/>
        <v>1.6779759563004601</v>
      </c>
      <c r="H97" s="20">
        <f t="shared" si="42"/>
        <v>1.6897413183267398</v>
      </c>
      <c r="I97" s="20">
        <f t="shared" si="42"/>
        <v>1.7010872265634405</v>
      </c>
      <c r="J97" s="20">
        <f t="shared" si="42"/>
        <v>1.7119884389307611</v>
      </c>
      <c r="K97" s="21">
        <f t="shared" si="42"/>
        <v>1.7224129101624619</v>
      </c>
      <c r="N97" s="3559"/>
      <c r="O97" s="3561"/>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6462</v>
      </c>
      <c r="AA100" s="1721">
        <v>100</v>
      </c>
    </row>
    <row r="101" spans="1:27" ht="13.35" customHeight="1">
      <c r="A101" s="341" t="s">
        <v>3213</v>
      </c>
      <c r="B101" s="20">
        <f t="shared" ref="B101:K101" si="46">IF(AND(B90=0,B91=0,B92=0,B93=0),"",-B89/(B90+B91+B92+B93))</f>
        <v>1.6137741524029456</v>
      </c>
      <c r="C101" s="20">
        <f t="shared" si="46"/>
        <v>1.6272500440497342</v>
      </c>
      <c r="D101" s="20">
        <f t="shared" si="46"/>
        <v>1.640431304985982</v>
      </c>
      <c r="E101" s="20">
        <f t="shared" si="46"/>
        <v>1.6532950041751062</v>
      </c>
      <c r="F101" s="20">
        <f t="shared" si="46"/>
        <v>1.6658174187815298</v>
      </c>
      <c r="G101" s="20">
        <f t="shared" si="46"/>
        <v>1.6779759563004601</v>
      </c>
      <c r="H101" s="20">
        <f t="shared" si="46"/>
        <v>1.6897413183267398</v>
      </c>
      <c r="I101" s="20">
        <f t="shared" si="46"/>
        <v>1.7010872265634405</v>
      </c>
      <c r="J101" s="20">
        <f t="shared" si="46"/>
        <v>1.7119884389307611</v>
      </c>
      <c r="K101" s="21">
        <f t="shared" si="46"/>
        <v>1.7224129101624619</v>
      </c>
      <c r="N101" s="3559"/>
      <c r="O101" s="3561"/>
      <c r="Z101" s="1719" t="s">
        <v>6462</v>
      </c>
      <c r="AA101" s="1721">
        <v>101</v>
      </c>
    </row>
    <row r="102" spans="1:27" ht="13.35" customHeight="1">
      <c r="A102" s="17" t="s">
        <v>718</v>
      </c>
      <c r="B102" s="220">
        <f>IF(OR(B86="Choose mgt fee",B86="Choose One!"),"",(B79+B80+B81+B82+B83) / -(B85+B86+B87))</f>
        <v>1.8583984706118568</v>
      </c>
      <c r="C102" s="220">
        <f t="shared" ref="C102:K102" si="47">IF(OR(C86="Choose mgt fee",C86="Choose One!"),"",(C79+C80+C81+C82+C83) / -(C85+C86+C87))</f>
        <v>1.8403559895776009</v>
      </c>
      <c r="D102" s="220">
        <f t="shared" si="47"/>
        <v>1.8224885270260829</v>
      </c>
      <c r="E102" s="220">
        <f t="shared" si="47"/>
        <v>1.8047942922118274</v>
      </c>
      <c r="F102" s="220">
        <f t="shared" si="47"/>
        <v>1.7872716713757306</v>
      </c>
      <c r="G102" s="220">
        <f t="shared" si="47"/>
        <v>1.769920787072538</v>
      </c>
      <c r="H102" s="220">
        <f t="shared" si="47"/>
        <v>1.7527370748735596</v>
      </c>
      <c r="I102" s="220">
        <f t="shared" si="47"/>
        <v>1.7357194922346788</v>
      </c>
      <c r="J102" s="220">
        <f t="shared" si="47"/>
        <v>1.7188684804995764</v>
      </c>
      <c r="K102" s="221">
        <f t="shared" si="47"/>
        <v>1.7021802609548586</v>
      </c>
      <c r="N102" s="3559"/>
      <c r="O102" s="3561"/>
      <c r="Z102" s="1719" t="s">
        <v>6462</v>
      </c>
      <c r="AA102" s="1721">
        <v>102</v>
      </c>
    </row>
    <row r="103" spans="1:27" ht="13.35" customHeight="1">
      <c r="A103" s="341" t="s">
        <v>2405</v>
      </c>
      <c r="B103" s="177">
        <f>IF('Part II-Sources of Funds'!$I$40="","",-FV('Part II-Sources of Funds'!$K$40/12,12,B90/12,K72))</f>
        <v>4773338.5514489524</v>
      </c>
      <c r="C103" s="177">
        <f>IF('Part II-Sources of Funds'!$I$40="","",-FV('Part II-Sources of Funds'!$K$40/12,12,C90/12,B103))</f>
        <v>4552998.1873755669</v>
      </c>
      <c r="D103" s="177">
        <f>IF('Part II-Sources of Funds'!$I$40="","",-FV('Part II-Sources of Funds'!$K$40/12,12,D90/12,C103))</f>
        <v>4318485.1312539577</v>
      </c>
      <c r="E103" s="177">
        <f>IF('Part II-Sources of Funds'!$I$40="","",-FV('Part II-Sources of Funds'!$K$40/12,12,E90/12,D103))</f>
        <v>4068887.7698137257</v>
      </c>
      <c r="F103" s="177">
        <f>IF('Part II-Sources of Funds'!$I$40="","",-FV('Part II-Sources of Funds'!$K$40/12,12,F90/12,E103))</f>
        <v>3803235.8531647008</v>
      </c>
      <c r="G103" s="177">
        <f>IF('Part II-Sources of Funds'!$I$40="","",-FV('Part II-Sources of Funds'!$K$40/12,12,G90/12,F103))</f>
        <v>3520496.723183156</v>
      </c>
      <c r="H103" s="177">
        <f>IF('Part II-Sources of Funds'!$I$40="","",-FV('Part II-Sources of Funds'!$K$40/12,12,H90/12,G103))</f>
        <v>3219571.299300978</v>
      </c>
      <c r="I103" s="177">
        <f>IF('Part II-Sources of Funds'!$I$40="","",-FV('Part II-Sources of Funds'!$K$40/12,12,I90/12,H103))</f>
        <v>2899289.806093513</v>
      </c>
      <c r="J103" s="177">
        <f>IF('Part II-Sources of Funds'!$I$40="","",-FV('Part II-Sources of Funds'!$K$40/12,12,J90/12,I103))</f>
        <v>2558407.2260581134</v>
      </c>
      <c r="K103" s="177">
        <f>IF('Part II-Sources of Funds'!$I$40="","",-FV('Part II-Sources of Funds'!$K$40/12,12,K90/12,J103))</f>
        <v>2195598.4599071424</v>
      </c>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3205</v>
      </c>
      <c r="O108" s="3247"/>
      <c r="AA108" s="1721">
        <v>108</v>
      </c>
    </row>
    <row r="109" spans="1:27" ht="13.35" customHeight="1">
      <c r="A109" s="14" t="s">
        <v>2215</v>
      </c>
      <c r="B109" s="15">
        <f>$B$15*(1+$B$6)^(B108-1)</f>
        <v>2300639.3297550147</v>
      </c>
      <c r="C109" s="15">
        <f>$B$15*(1+$B$6)^(C108-1)</f>
        <v>2346652.1163501148</v>
      </c>
      <c r="D109" s="15">
        <f>$B$15*(1+$B$6)^(D108-1)</f>
        <v>2393585.1586771174</v>
      </c>
      <c r="E109" s="15">
        <f>$B$15*(1+$B$6)^(E108-1)</f>
        <v>2441456.8618506598</v>
      </c>
      <c r="F109" s="497">
        <f>$B$15*(1+$B$6)^(F108-1)</f>
        <v>2490285.9990876731</v>
      </c>
      <c r="G109" s="13"/>
      <c r="H109" s="13"/>
      <c r="I109" s="13"/>
      <c r="J109" s="13"/>
      <c r="K109" s="13"/>
      <c r="N109" s="3581"/>
      <c r="O109" s="3583"/>
      <c r="Z109" s="1719" t="s">
        <v>6463</v>
      </c>
      <c r="AA109" s="1721">
        <v>109</v>
      </c>
    </row>
    <row r="110" spans="1:27" ht="13.35" customHeight="1">
      <c r="A110" s="17" t="s">
        <v>952</v>
      </c>
      <c r="B110" s="18">
        <f>$B$16*(1+$B$6)^(B108-1)</f>
        <v>46012.786595100297</v>
      </c>
      <c r="C110" s="18">
        <f>$B$16*(1+$B$6)^(C108-1)</f>
        <v>46933.042327002295</v>
      </c>
      <c r="D110" s="18">
        <f>$B$16*(1+$B$6)^(D108-1)</f>
        <v>47871.703173542352</v>
      </c>
      <c r="E110" s="18">
        <f>$B$16*(1+$B$6)^(E108-1)</f>
        <v>48829.137237013201</v>
      </c>
      <c r="F110" s="19">
        <f>$B$16*(1+$B$6)^(F108-1)</f>
        <v>49805.719981753457</v>
      </c>
      <c r="G110" s="13"/>
      <c r="H110" s="13"/>
      <c r="I110" s="13"/>
      <c r="J110" s="13"/>
      <c r="K110" s="13"/>
      <c r="N110" s="3559"/>
      <c r="O110" s="3561"/>
      <c r="Z110" s="1719" t="s">
        <v>6463</v>
      </c>
      <c r="AA110" s="1721">
        <v>110</v>
      </c>
    </row>
    <row r="111" spans="1:27" ht="13.35" customHeight="1">
      <c r="A111" s="17" t="s">
        <v>2216</v>
      </c>
      <c r="B111" s="18">
        <f>-(B109+B110)*$B$9</f>
        <v>-164265.64814450804</v>
      </c>
      <c r="C111" s="18">
        <f>-(C109+C110)*$B$9</f>
        <v>-167550.96110739821</v>
      </c>
      <c r="D111" s="18">
        <f>-(D109+D110)*$B$9</f>
        <v>-170901.9803295462</v>
      </c>
      <c r="E111" s="18">
        <f>-(E109+E110)*$B$9</f>
        <v>-174320.01993613713</v>
      </c>
      <c r="F111" s="19">
        <f>-(F109+F110)*$B$9</f>
        <v>-177806.42033485987</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2182386.4682056066</v>
      </c>
      <c r="C114" s="18">
        <f>SUM(C109:C113)</f>
        <v>2226034.1975697186</v>
      </c>
      <c r="D114" s="18">
        <f>SUM(D109:D113)</f>
        <v>2270554.8815211137</v>
      </c>
      <c r="E114" s="18">
        <f>SUM(E109:E113)</f>
        <v>2315965.9791515358</v>
      </c>
      <c r="F114" s="19">
        <f>SUM(F109:F113)</f>
        <v>2362285.2987345667</v>
      </c>
      <c r="G114" s="13"/>
      <c r="H114" s="13"/>
      <c r="I114" s="13"/>
      <c r="J114" s="13"/>
      <c r="K114" s="13"/>
      <c r="N114" s="3559"/>
      <c r="O114" s="3561"/>
      <c r="Z114" s="1719" t="s">
        <v>6463</v>
      </c>
      <c r="AA114" s="1721">
        <v>114</v>
      </c>
    </row>
    <row r="115" spans="1:27" ht="13.35" customHeight="1">
      <c r="A115" s="17" t="s">
        <v>572</v>
      </c>
      <c r="B115" s="18">
        <f>$B$21*(1+$B$7)^(B108-1)</f>
        <v>-1093845.83264162</v>
      </c>
      <c r="C115" s="18">
        <f>$B$21*(1+$B$7)^(C108-1)</f>
        <v>-1126661.2076208687</v>
      </c>
      <c r="D115" s="18">
        <f>$B$21*(1+$B$7)^(D108-1)</f>
        <v>-1160461.0438494945</v>
      </c>
      <c r="E115" s="18">
        <f>$B$21*(1+$B$7)^(E108-1)</f>
        <v>-1195274.8751649794</v>
      </c>
      <c r="F115" s="19">
        <f>$B$21*(1+$B$7)^(F108-1)</f>
        <v>-1231133.1214199285</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-146223</v>
      </c>
      <c r="C116" s="18">
        <f>IF(AND('Part VI-Pro Forma'!$G$9="Yes",'Part VI-Pro Forma'!$G$10="Yes"),"Choose One!",IF('Part VI-Pro Forma'!$G$9="Yes",ROUND((-$K$9*(1+'Part VI-Pro Forma'!$B$7)^('Part VI-Pro Forma'!C108-1)),),IF('Part VI-Pro Forma'!$G$10="Yes",ROUND((-(SUM(C109:C112)*'Part VI-Pro Forma'!$K$10)),),"Choose mgt fee")))</f>
        <v>-150610</v>
      </c>
      <c r="D116" s="18">
        <f>IF(AND('Part VI-Pro Forma'!$G$9="Yes",'Part VI-Pro Forma'!$G$10="Yes"),"Choose One!",IF('Part VI-Pro Forma'!$G$9="Yes",ROUND((-$K$9*(1+'Part VI-Pro Forma'!$B$7)^('Part VI-Pro Forma'!D108-1)),),IF('Part VI-Pro Forma'!$G$10="Yes",ROUND((-(SUM(D109:D112)*'Part VI-Pro Forma'!$K$10)),),"Choose mgt fee")))</f>
        <v>-155128</v>
      </c>
      <c r="E116" s="18">
        <f>IF(AND('Part VI-Pro Forma'!$G$9="Yes",'Part VI-Pro Forma'!$G$10="Yes"),"Choose One!",IF('Part VI-Pro Forma'!$G$9="Yes",ROUND((-$K$9*(1+'Part VI-Pro Forma'!$B$7)^('Part VI-Pro Forma'!E108-1)),),IF('Part VI-Pro Forma'!$G$10="Yes",ROUND((-(SUM(E109:E112)*'Part VI-Pro Forma'!$K$10)),),"Choose mgt fee")))</f>
        <v>-159782</v>
      </c>
      <c r="F116" s="19">
        <f>IF(AND('Part VI-Pro Forma'!$G$9="Yes",'Part VI-Pro Forma'!$G$10="Yes"),"Choose One!",IF('Part VI-Pro Forma'!$G$9="Yes",ROUND((-$K$9*(1+'Part VI-Pro Forma'!$B$7)^('Part VI-Pro Forma'!F108-1)),),IF('Part VI-Pro Forma'!$G$10="Yes",ROUND((-(SUM(F109:F112)*'Part VI-Pro Forma'!$K$10)),),"Choose mgt fee")))</f>
        <v>-164575</v>
      </c>
      <c r="G116" s="13"/>
      <c r="H116" s="13"/>
      <c r="I116" s="13"/>
      <c r="J116" s="13"/>
      <c r="K116" s="13"/>
      <c r="N116" s="3559"/>
      <c r="O116" s="3561"/>
      <c r="Z116" s="1719" t="s">
        <v>6463</v>
      </c>
      <c r="AA116" s="1721">
        <v>116</v>
      </c>
    </row>
    <row r="117" spans="1:27" ht="13.35" customHeight="1">
      <c r="A117" s="17" t="s">
        <v>1128</v>
      </c>
      <c r="B117" s="18">
        <f>$B$23*(1+$B$8)^(B108-1)</f>
        <v>-54613.405601767328</v>
      </c>
      <c r="C117" s="18">
        <f>$B$23*(1+$B$8)^(C108-1)</f>
        <v>-56251.807769820356</v>
      </c>
      <c r="D117" s="18">
        <f>$B$23*(1+$B$8)^(D108-1)</f>
        <v>-57939.362002914961</v>
      </c>
      <c r="E117" s="18">
        <f>$B$23*(1+$B$8)^(E108-1)</f>
        <v>-59677.542863002411</v>
      </c>
      <c r="F117" s="19">
        <f>$B$23*(1+$B$8)^(F108-1)</f>
        <v>-61467.869148892474</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887704.22996221925</v>
      </c>
      <c r="C119" s="18">
        <f>SUM(C114:C118)</f>
        <v>892511.18217902957</v>
      </c>
      <c r="D119" s="18">
        <f>SUM(D114:D118)</f>
        <v>897026.47566870414</v>
      </c>
      <c r="E119" s="18">
        <f>SUM(E114:E118)</f>
        <v>901231.56112355401</v>
      </c>
      <c r="F119" s="1215">
        <f>SUM(F114:F118)</f>
        <v>905109.30816574569</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-512433.2280002333</v>
      </c>
      <c r="C120" s="342">
        <f>IF('Part II-Sources of Funds'!$P$40="", 0,-'Part II-Sources of Funds'!$P$40)</f>
        <v>-512433.2280002333</v>
      </c>
      <c r="D120" s="342">
        <f>IF('Part II-Sources of Funds'!$P$40="", 0,-'Part II-Sources of Funds'!$P$40)</f>
        <v>-512433.2280002333</v>
      </c>
      <c r="E120" s="342">
        <f>IF('Part II-Sources of Funds'!$P$40="", 0,-'Part II-Sources of Funds'!$P$40)</f>
        <v>-512433.2280002333</v>
      </c>
      <c r="F120" s="342">
        <f>IF('Part II-Sources of Funds'!$P$40="", 0,-'Part II-Sources of Funds'!$P$40)</f>
        <v>-512433.2280002333</v>
      </c>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59"/>
      <c r="O125" s="3561"/>
      <c r="Z125" s="1719" t="s">
        <v>6463</v>
      </c>
      <c r="AA125" s="1721">
        <v>125</v>
      </c>
    </row>
    <row r="126" spans="1:27" ht="13.35" customHeight="1">
      <c r="A126" s="17" t="s">
        <v>1096</v>
      </c>
      <c r="B126" s="18">
        <f>SUM(B119:B125)</f>
        <v>370271.00196198595</v>
      </c>
      <c r="C126" s="18">
        <f>SUM(C119:C125)</f>
        <v>375077.95417879627</v>
      </c>
      <c r="D126" s="18">
        <f>SUM(D119:D125)</f>
        <v>379593.24766847084</v>
      </c>
      <c r="E126" s="18">
        <f>SUM(E119:E125)</f>
        <v>383798.33312332071</v>
      </c>
      <c r="F126" s="19">
        <f>SUM(F119:F125)</f>
        <v>387676.08016551239</v>
      </c>
      <c r="G126" s="13"/>
      <c r="H126" s="13"/>
      <c r="I126" s="13"/>
      <c r="J126" s="13"/>
      <c r="K126" s="13"/>
      <c r="N126" s="3559"/>
      <c r="O126" s="3561"/>
      <c r="Z126" s="1719" t="s">
        <v>6463</v>
      </c>
      <c r="AA126" s="1721">
        <v>126</v>
      </c>
    </row>
    <row r="127" spans="1:27" ht="13.35" customHeight="1">
      <c r="A127" s="17" t="str">
        <f>$A97</f>
        <v>DCR Mortgage A</v>
      </c>
      <c r="B127" s="20">
        <f>IF(B120=0,"",-B119/B120)</f>
        <v>1.7323315145399101</v>
      </c>
      <c r="C127" s="20">
        <f>IF(C120=0,"",-C119/C120)</f>
        <v>1.7417121556735256</v>
      </c>
      <c r="D127" s="20">
        <f>IF(D120=0,"",-D119/D120)</f>
        <v>1.7505236324532329</v>
      </c>
      <c r="E127" s="20">
        <f>IF(E120=0,"",-E119/E120)</f>
        <v>1.758729746391746</v>
      </c>
      <c r="F127" s="21">
        <f>IF(F120=0,"",-F119/F120)</f>
        <v>1.7662970680061629</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1.7323315145399101</v>
      </c>
      <c r="C131" s="20">
        <f>IF(AND(C120=0,C121=0,C122=0,C123=0),"",-C119/(C120+C121+C122+C123))</f>
        <v>1.7417121556735256</v>
      </c>
      <c r="D131" s="20">
        <f>IF(AND(D120=0,D121=0,D122=0,D123=0),"",-D119/(D120+D121+D122+D123))</f>
        <v>1.7505236324532329</v>
      </c>
      <c r="E131" s="20">
        <f>IF(AND(E120=0,E121=0,E122=0,E123=0),"",-E119/(E120+E121+E122+E123))</f>
        <v>1.758729746391746</v>
      </c>
      <c r="F131" s="21">
        <f>IF(AND(F120=0,F121=0,F122=0,F123=0),"",-F119/(F120+F121+F122+F123))</f>
        <v>1.7662970680061629</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1.6856541348452019</v>
      </c>
      <c r="C132" s="220">
        <f>IF(OR(C116="Choose mgt fee",C116="Choose One!"),"",(C109+C110+C111+C112+C113) / -(C115+C116+C117))</f>
        <v>1.6692881726661057</v>
      </c>
      <c r="D132" s="220">
        <f>IF(OR(D116="Choose mgt fee",D116="Choose One!"),"",(D109+D110+D111+D112+D113) / -(D115+D116+D117))</f>
        <v>1.6530818524368347</v>
      </c>
      <c r="E132" s="220">
        <f>IF(OR(E116="Choose mgt fee",E116="Choose One!"),"",(E109+E110+E111+E112+E113) / -(E115+E116+E117))</f>
        <v>1.6370323289227622</v>
      </c>
      <c r="F132" s="498">
        <f>IF(OR(F116="Choose mgt fee",F116="Choose One!"),"",(F109+F110+F111+F112+F113) / -(F115+F116+F117))</f>
        <v>1.6211393229258659</v>
      </c>
      <c r="G132" s="13"/>
      <c r="H132" s="13"/>
      <c r="I132" s="13"/>
      <c r="J132" s="13"/>
      <c r="K132" s="13"/>
      <c r="N132" s="3559"/>
      <c r="O132" s="3561"/>
      <c r="Z132" s="1719" t="s">
        <v>6463</v>
      </c>
      <c r="AA132" s="1721">
        <v>132</v>
      </c>
    </row>
    <row r="133" spans="1:27" ht="13.35" customHeight="1">
      <c r="A133" s="341" t="s">
        <v>2405</v>
      </c>
      <c r="B133" s="177">
        <f>IF('Part II-Sources of Funds'!$I$40="","",-FV('Part II-Sources of Funds'!$K$40/12,12,B120/12,K103))</f>
        <v>1809453.1755622507</v>
      </c>
      <c r="C133" s="177">
        <f>IF('Part II-Sources of Funds'!$I$40="","",-FV('Part II-Sources of Funds'!$K$40/12,12,C120/12,B133))</f>
        <v>1398470.3258266109</v>
      </c>
      <c r="D133" s="177">
        <f>IF('Part II-Sources of Funds'!$I$40="","",-FV('Part II-Sources of Funds'!$K$40/12,12,D120/12,C133))</f>
        <v>961052.3134238862</v>
      </c>
      <c r="E133" s="177">
        <f>IF('Part II-Sources of Funds'!$I$40="","",-FV('Part II-Sources of Funds'!$K$40/12,12,E120/12,D133))</f>
        <v>495498.78072191577</v>
      </c>
      <c r="F133" s="177">
        <f>IF('Part II-Sources of Funds'!$I$40="","",-FV('Part II-Sources of Funds'!$K$40/12,12,F120/12,E133))</f>
        <v>1.5832483768463135E-7</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7070</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77" zoomScaleNormal="100" workbookViewId="0">
      <selection activeCell="A216" sqref="A216:Q216"/>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6" t="str">
        <f>CONCATENATE("PART SEVEN - THRESHOLD CRITERIA","  -  ",'Part I-Project Identification'!$O$7," ",'Part I-Project Identification'!$F$25,", ",'Part I-Project Identification'!F26,", ",'Part I-Project Identification'!J26," County")</f>
        <v>PART SEVEN - THRESHOLD CRITERIA  -  2023-0 Helix, Riverdale, Clayton County</v>
      </c>
      <c r="B1" s="3836"/>
      <c r="C1" s="3836"/>
      <c r="D1" s="3836"/>
      <c r="E1" s="3836"/>
      <c r="F1" s="3836"/>
      <c r="G1" s="3836"/>
      <c r="H1" s="3836"/>
      <c r="I1" s="3836"/>
      <c r="J1" s="3836"/>
      <c r="K1" s="3836"/>
      <c r="L1" s="3836"/>
      <c r="M1" s="3836"/>
      <c r="N1" s="3836"/>
      <c r="O1" s="3836"/>
      <c r="P1" s="3836"/>
      <c r="Q1" s="3836"/>
    </row>
    <row r="2" spans="1:17" s="2011" customFormat="1" ht="12.75"/>
    <row r="3" spans="1:17" s="2011" customFormat="1" ht="12.75">
      <c r="A3" s="3837"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7"/>
      <c r="C3" s="3837"/>
      <c r="D3" s="3837"/>
      <c r="E3" s="3837"/>
      <c r="F3" s="3837"/>
      <c r="G3" s="3837"/>
      <c r="H3" s="3837"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7"/>
      <c r="J3" s="3837"/>
      <c r="K3" s="3837"/>
      <c r="L3" s="3837"/>
      <c r="M3" s="3837"/>
      <c r="N3" s="3837"/>
      <c r="O3" s="2012"/>
      <c r="P3" s="3838" t="s">
        <v>6770</v>
      </c>
      <c r="Q3" s="3840" t="s">
        <v>6530</v>
      </c>
    </row>
    <row r="4" spans="1:17" s="2011" customFormat="1" ht="12.75">
      <c r="A4" s="2013"/>
      <c r="B4" s="3842"/>
      <c r="C4" s="3842"/>
      <c r="D4" s="3842"/>
      <c r="E4" s="2013"/>
      <c r="F4" s="2013"/>
      <c r="G4" s="2013"/>
      <c r="H4" s="2013"/>
      <c r="I4" s="2012"/>
      <c r="J4" s="2014"/>
      <c r="K4" s="2013"/>
      <c r="L4" s="2013"/>
      <c r="M4" s="2013"/>
      <c r="N4" s="2013"/>
      <c r="O4" s="2012"/>
      <c r="P4" s="3838"/>
      <c r="Q4" s="3840"/>
    </row>
    <row r="5" spans="1:17" s="2011" customFormat="1" ht="12.75">
      <c r="A5" s="2012"/>
      <c r="B5" s="2012"/>
      <c r="C5" s="2012"/>
      <c r="D5" s="2012"/>
      <c r="E5" s="3843" t="str">
        <f>'Part I-Project Identification'!$A$6</f>
        <v>April 2023</v>
      </c>
      <c r="F5" s="3843"/>
      <c r="G5" s="3843"/>
      <c r="H5" s="3843"/>
      <c r="I5" s="3843"/>
      <c r="J5" s="2014"/>
      <c r="K5" s="2013"/>
      <c r="L5" s="2013"/>
      <c r="M5" s="2013"/>
      <c r="N5" s="2013"/>
      <c r="O5" s="2012"/>
      <c r="P5" s="3839"/>
      <c r="Q5" s="3841"/>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0" t="s">
        <v>6771</v>
      </c>
      <c r="B7" s="3830"/>
      <c r="C7" s="3830"/>
      <c r="D7" s="3830"/>
      <c r="E7" s="3830"/>
      <c r="F7" s="3830"/>
      <c r="G7" s="3830"/>
      <c r="H7" s="3830"/>
      <c r="I7" s="3830"/>
      <c r="J7" s="3830"/>
      <c r="K7" s="3830"/>
      <c r="L7" s="3830"/>
      <c r="M7" s="3830"/>
      <c r="N7" s="3830"/>
      <c r="O7" s="3830"/>
      <c r="P7" s="3830"/>
      <c r="Q7" s="3830"/>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831"/>
      <c r="Q9" s="3832"/>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833" t="s">
        <v>1329</v>
      </c>
      <c r="B11" s="3834"/>
      <c r="C11" s="3834"/>
      <c r="D11" s="3834"/>
      <c r="E11" s="3834"/>
      <c r="F11" s="3834"/>
      <c r="G11" s="3834"/>
      <c r="H11" s="3834"/>
      <c r="I11" s="3834"/>
      <c r="J11" s="3834"/>
      <c r="K11" s="3834"/>
      <c r="L11" s="3834"/>
      <c r="M11" s="3834"/>
      <c r="N11" s="3834"/>
      <c r="O11" s="3834"/>
      <c r="P11" s="3834"/>
      <c r="Q11" s="3835"/>
    </row>
    <row r="12" spans="1:17" s="2022" customFormat="1" ht="14.25">
      <c r="A12" s="3822" t="s">
        <v>218</v>
      </c>
      <c r="B12" s="3823"/>
      <c r="C12" s="3823"/>
      <c r="D12" s="3823"/>
      <c r="E12" s="3823"/>
      <c r="F12" s="3823"/>
      <c r="G12" s="3823"/>
      <c r="H12" s="3823"/>
      <c r="I12" s="3823"/>
      <c r="J12" s="3823"/>
      <c r="K12" s="3823"/>
      <c r="L12" s="3823"/>
      <c r="M12" s="3823"/>
      <c r="N12" s="3823"/>
      <c r="O12" s="3823"/>
      <c r="P12" s="3823"/>
      <c r="Q12" s="3824"/>
    </row>
    <row r="13" spans="1:17" s="2022" customFormat="1" ht="14.25">
      <c r="A13" s="3822" t="s">
        <v>1325</v>
      </c>
      <c r="B13" s="3823"/>
      <c r="C13" s="3823"/>
      <c r="D13" s="3823"/>
      <c r="E13" s="3823"/>
      <c r="F13" s="3823"/>
      <c r="G13" s="3823"/>
      <c r="H13" s="3823"/>
      <c r="I13" s="3823"/>
      <c r="J13" s="3823"/>
      <c r="K13" s="3823"/>
      <c r="L13" s="3823"/>
      <c r="M13" s="3823"/>
      <c r="N13" s="3823"/>
      <c r="O13" s="3823"/>
      <c r="P13" s="3823"/>
      <c r="Q13" s="3824"/>
    </row>
    <row r="14" spans="1:17" s="2022" customFormat="1" ht="14.25">
      <c r="A14" s="3822" t="s">
        <v>1326</v>
      </c>
      <c r="B14" s="3823"/>
      <c r="C14" s="3823"/>
      <c r="D14" s="3823"/>
      <c r="E14" s="3823"/>
      <c r="F14" s="3823"/>
      <c r="G14" s="3823"/>
      <c r="H14" s="3823"/>
      <c r="I14" s="3823"/>
      <c r="J14" s="3823"/>
      <c r="K14" s="3823"/>
      <c r="L14" s="3823"/>
      <c r="M14" s="3823"/>
      <c r="N14" s="3823"/>
      <c r="O14" s="3823"/>
      <c r="P14" s="3823"/>
      <c r="Q14" s="3824"/>
    </row>
    <row r="15" spans="1:17" s="2022" customFormat="1" ht="14.25">
      <c r="A15" s="3822" t="s">
        <v>1327</v>
      </c>
      <c r="B15" s="3823"/>
      <c r="C15" s="3823"/>
      <c r="D15" s="3823"/>
      <c r="E15" s="3823"/>
      <c r="F15" s="3823"/>
      <c r="G15" s="3823"/>
      <c r="H15" s="3823"/>
      <c r="I15" s="3823"/>
      <c r="J15" s="3823"/>
      <c r="K15" s="3823"/>
      <c r="L15" s="3823"/>
      <c r="M15" s="3823"/>
      <c r="N15" s="3823"/>
      <c r="O15" s="3823"/>
      <c r="P15" s="3823"/>
      <c r="Q15" s="3824"/>
    </row>
    <row r="16" spans="1:17" s="2022" customFormat="1" ht="14.25">
      <c r="A16" s="3822" t="s">
        <v>1328</v>
      </c>
      <c r="B16" s="3823"/>
      <c r="C16" s="3823"/>
      <c r="D16" s="3823"/>
      <c r="E16" s="3823"/>
      <c r="F16" s="3823"/>
      <c r="G16" s="3823"/>
      <c r="H16" s="3823"/>
      <c r="I16" s="3823"/>
      <c r="J16" s="3823"/>
      <c r="K16" s="3823"/>
      <c r="L16" s="3823"/>
      <c r="M16" s="3823"/>
      <c r="N16" s="3823"/>
      <c r="O16" s="3823"/>
      <c r="P16" s="3823"/>
      <c r="Q16" s="3824"/>
    </row>
    <row r="17" spans="1:17" s="2022" customFormat="1" ht="14.25">
      <c r="A17" s="3822" t="s">
        <v>1330</v>
      </c>
      <c r="B17" s="3823"/>
      <c r="C17" s="3823"/>
      <c r="D17" s="3823"/>
      <c r="E17" s="3823"/>
      <c r="F17" s="3823"/>
      <c r="G17" s="3823"/>
      <c r="H17" s="3823"/>
      <c r="I17" s="3823"/>
      <c r="J17" s="3823"/>
      <c r="K17" s="3823"/>
      <c r="L17" s="3823"/>
      <c r="M17" s="3823"/>
      <c r="N17" s="3823"/>
      <c r="O17" s="3823"/>
      <c r="P17" s="3823"/>
      <c r="Q17" s="3824"/>
    </row>
    <row r="18" spans="1:17" s="2022" customFormat="1" ht="14.25">
      <c r="A18" s="3822" t="s">
        <v>1872</v>
      </c>
      <c r="B18" s="3823"/>
      <c r="C18" s="3823"/>
      <c r="D18" s="3823"/>
      <c r="E18" s="3823"/>
      <c r="F18" s="3823"/>
      <c r="G18" s="3823"/>
      <c r="H18" s="3823"/>
      <c r="I18" s="3823"/>
      <c r="J18" s="3823"/>
      <c r="K18" s="3823"/>
      <c r="L18" s="3823"/>
      <c r="M18" s="3823"/>
      <c r="N18" s="3823"/>
      <c r="O18" s="3823"/>
      <c r="P18" s="3823"/>
      <c r="Q18" s="3824"/>
    </row>
    <row r="19" spans="1:17" s="2022" customFormat="1" ht="14.25">
      <c r="A19" s="3822" t="s">
        <v>1873</v>
      </c>
      <c r="B19" s="3823"/>
      <c r="C19" s="3823"/>
      <c r="D19" s="3823"/>
      <c r="E19" s="3823"/>
      <c r="F19" s="3823"/>
      <c r="G19" s="3823"/>
      <c r="H19" s="3823"/>
      <c r="I19" s="3823"/>
      <c r="J19" s="3823"/>
      <c r="K19" s="3823"/>
      <c r="L19" s="3823"/>
      <c r="M19" s="3823"/>
      <c r="N19" s="3823"/>
      <c r="O19" s="3823"/>
      <c r="P19" s="3823"/>
      <c r="Q19" s="3824"/>
    </row>
    <row r="20" spans="1:17" s="2022" customFormat="1" ht="14.25">
      <c r="A20" s="3822" t="s">
        <v>1874</v>
      </c>
      <c r="B20" s="3823"/>
      <c r="C20" s="3823"/>
      <c r="D20" s="3823"/>
      <c r="E20" s="3823"/>
      <c r="F20" s="3823"/>
      <c r="G20" s="3823"/>
      <c r="H20" s="3823"/>
      <c r="I20" s="3823"/>
      <c r="J20" s="3823"/>
      <c r="K20" s="3823"/>
      <c r="L20" s="3823"/>
      <c r="M20" s="3823"/>
      <c r="N20" s="3823"/>
      <c r="O20" s="3823"/>
      <c r="P20" s="3823"/>
      <c r="Q20" s="3824"/>
    </row>
    <row r="21" spans="1:17" s="2022" customFormat="1" ht="14.25">
      <c r="A21" s="3822" t="s">
        <v>1875</v>
      </c>
      <c r="B21" s="3823"/>
      <c r="C21" s="3823"/>
      <c r="D21" s="3823"/>
      <c r="E21" s="3823"/>
      <c r="F21" s="3823"/>
      <c r="G21" s="3823"/>
      <c r="H21" s="3823"/>
      <c r="I21" s="3823"/>
      <c r="J21" s="3823"/>
      <c r="K21" s="3823"/>
      <c r="L21" s="3823"/>
      <c r="M21" s="3823"/>
      <c r="N21" s="3823"/>
      <c r="O21" s="3823"/>
      <c r="P21" s="3823"/>
      <c r="Q21" s="3824"/>
    </row>
    <row r="22" spans="1:17" s="2022" customFormat="1" ht="14.25">
      <c r="A22" s="3822" t="s">
        <v>1876</v>
      </c>
      <c r="B22" s="3823"/>
      <c r="C22" s="3823"/>
      <c r="D22" s="3823"/>
      <c r="E22" s="3823"/>
      <c r="F22" s="3823"/>
      <c r="G22" s="3823"/>
      <c r="H22" s="3823"/>
      <c r="I22" s="3823"/>
      <c r="J22" s="3823"/>
      <c r="K22" s="3823"/>
      <c r="L22" s="3823"/>
      <c r="M22" s="3823"/>
      <c r="N22" s="3823"/>
      <c r="O22" s="3823"/>
      <c r="P22" s="3823"/>
      <c r="Q22" s="3824"/>
    </row>
    <row r="23" spans="1:17" s="2022" customFormat="1" ht="14.25">
      <c r="A23" s="3822" t="s">
        <v>1877</v>
      </c>
      <c r="B23" s="3823"/>
      <c r="C23" s="3823"/>
      <c r="D23" s="3823"/>
      <c r="E23" s="3823"/>
      <c r="F23" s="3823"/>
      <c r="G23" s="3823"/>
      <c r="H23" s="3823"/>
      <c r="I23" s="3823"/>
      <c r="J23" s="3823"/>
      <c r="K23" s="3823"/>
      <c r="L23" s="3823"/>
      <c r="M23" s="3823"/>
      <c r="N23" s="3823"/>
      <c r="O23" s="3823"/>
      <c r="P23" s="3823"/>
      <c r="Q23" s="3824"/>
    </row>
    <row r="24" spans="1:17" s="2022" customFormat="1" ht="14.25">
      <c r="A24" s="3822" t="s">
        <v>1878</v>
      </c>
      <c r="B24" s="3823"/>
      <c r="C24" s="3823"/>
      <c r="D24" s="3823"/>
      <c r="E24" s="3823"/>
      <c r="F24" s="3823"/>
      <c r="G24" s="3823"/>
      <c r="H24" s="3823"/>
      <c r="I24" s="3823"/>
      <c r="J24" s="3823"/>
      <c r="K24" s="3823"/>
      <c r="L24" s="3823"/>
      <c r="M24" s="3823"/>
      <c r="N24" s="3823"/>
      <c r="O24" s="3823"/>
      <c r="P24" s="3823"/>
      <c r="Q24" s="3824"/>
    </row>
    <row r="25" spans="1:17" s="2022" customFormat="1" ht="14.25">
      <c r="A25" s="3822" t="s">
        <v>1879</v>
      </c>
      <c r="B25" s="3823"/>
      <c r="C25" s="3823"/>
      <c r="D25" s="3823"/>
      <c r="E25" s="3823"/>
      <c r="F25" s="3823"/>
      <c r="G25" s="3823"/>
      <c r="H25" s="3823"/>
      <c r="I25" s="3823"/>
      <c r="J25" s="3823"/>
      <c r="K25" s="3823"/>
      <c r="L25" s="3823"/>
      <c r="M25" s="3823"/>
      <c r="N25" s="3823"/>
      <c r="O25" s="3823"/>
      <c r="P25" s="3823"/>
      <c r="Q25" s="3824"/>
    </row>
    <row r="26" spans="1:17" s="2022" customFormat="1" ht="14.25">
      <c r="A26" s="3822" t="s">
        <v>1880</v>
      </c>
      <c r="B26" s="3823"/>
      <c r="C26" s="3823"/>
      <c r="D26" s="3823"/>
      <c r="E26" s="3823"/>
      <c r="F26" s="3823"/>
      <c r="G26" s="3823"/>
      <c r="H26" s="3823"/>
      <c r="I26" s="3823"/>
      <c r="J26" s="3823"/>
      <c r="K26" s="3823"/>
      <c r="L26" s="3823"/>
      <c r="M26" s="3823"/>
      <c r="N26" s="3823"/>
      <c r="O26" s="3823"/>
      <c r="P26" s="3823"/>
      <c r="Q26" s="3824"/>
    </row>
    <row r="27" spans="1:17" s="2022" customFormat="1" ht="14.25">
      <c r="A27" s="3822" t="s">
        <v>1881</v>
      </c>
      <c r="B27" s="3823"/>
      <c r="C27" s="3823"/>
      <c r="D27" s="3823"/>
      <c r="E27" s="3823"/>
      <c r="F27" s="3823"/>
      <c r="G27" s="3823"/>
      <c r="H27" s="3823"/>
      <c r="I27" s="3823"/>
      <c r="J27" s="3823"/>
      <c r="K27" s="3823"/>
      <c r="L27" s="3823"/>
      <c r="M27" s="3823"/>
      <c r="N27" s="3823"/>
      <c r="O27" s="3823"/>
      <c r="P27" s="3823"/>
      <c r="Q27" s="3824"/>
    </row>
    <row r="28" spans="1:17" s="2022" customFormat="1" ht="14.25">
      <c r="A28" s="3825" t="s">
        <v>1882</v>
      </c>
      <c r="B28" s="3826"/>
      <c r="C28" s="3826"/>
      <c r="D28" s="3826"/>
      <c r="E28" s="3826"/>
      <c r="F28" s="3826"/>
      <c r="G28" s="3826"/>
      <c r="H28" s="3826"/>
      <c r="I28" s="3826"/>
      <c r="J28" s="3826"/>
      <c r="K28" s="3826"/>
      <c r="L28" s="3826"/>
      <c r="M28" s="3826"/>
      <c r="N28" s="3826"/>
      <c r="O28" s="3826"/>
      <c r="P28" s="3826"/>
      <c r="Q28" s="3827"/>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828"/>
      <c r="Q31" s="3829"/>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686" t="s">
        <v>7072</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1" t="s">
        <v>6774</v>
      </c>
      <c r="C39" s="3821"/>
      <c r="D39" s="3821"/>
      <c r="E39" s="3821"/>
      <c r="F39" s="3821"/>
      <c r="G39" s="3821"/>
      <c r="H39" s="3821"/>
      <c r="I39" s="3821"/>
      <c r="J39" s="3821"/>
      <c r="K39" s="3821"/>
      <c r="L39" s="3821"/>
      <c r="M39" s="3821"/>
      <c r="N39" s="3821"/>
      <c r="O39" s="3821"/>
      <c r="P39" s="3699" t="s">
        <v>2649</v>
      </c>
      <c r="Q39" s="3700"/>
    </row>
    <row r="40" spans="1:17" ht="20.25" customHeight="1">
      <c r="B40" s="2045" t="s">
        <v>3239</v>
      </c>
      <c r="D40" s="2045"/>
      <c r="E40" s="2045"/>
      <c r="F40" s="2045"/>
      <c r="G40" s="2045"/>
      <c r="H40" s="2043"/>
      <c r="I40" s="2031"/>
      <c r="J40" s="2031"/>
    </row>
    <row r="41" spans="1:17" ht="20.25" customHeight="1">
      <c r="A41" s="3718" t="s">
        <v>7116</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6775</v>
      </c>
      <c r="C47" s="2042"/>
      <c r="D47" s="2036"/>
      <c r="E47" s="2036"/>
      <c r="F47" s="2036"/>
      <c r="G47" s="2036"/>
      <c r="H47" s="2036"/>
      <c r="I47" s="2036"/>
      <c r="J47" s="2036"/>
      <c r="L47" s="2051"/>
      <c r="M47" s="2052"/>
      <c r="O47" s="2032"/>
      <c r="P47" s="3699" t="s">
        <v>2649</v>
      </c>
      <c r="Q47" s="3700"/>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686" t="s">
        <v>7113</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7073</v>
      </c>
      <c r="J53" s="3757"/>
      <c r="K53" s="3757"/>
      <c r="L53" s="3757"/>
      <c r="M53" s="3757"/>
      <c r="N53" s="3757"/>
      <c r="O53" s="3757"/>
      <c r="P53" s="3757"/>
      <c r="Q53" s="3758"/>
    </row>
    <row r="54" spans="1:17" ht="20.25" customHeight="1">
      <c r="A54" s="2053"/>
      <c r="B54" s="2030" t="s">
        <v>6776</v>
      </c>
      <c r="D54" s="2056"/>
      <c r="E54" s="2056"/>
      <c r="F54" s="2056"/>
      <c r="I54" s="3809">
        <v>98.2</v>
      </c>
      <c r="J54" s="3820"/>
      <c r="K54" s="3819"/>
      <c r="L54" s="2044"/>
      <c r="M54" s="2057"/>
      <c r="N54" s="2057"/>
      <c r="O54" s="2057"/>
      <c r="P54" s="2057"/>
      <c r="Q54" s="2026"/>
    </row>
    <row r="55" spans="1:17" ht="20.25" customHeight="1">
      <c r="A55" s="2053"/>
      <c r="B55" s="2030" t="s">
        <v>6777</v>
      </c>
      <c r="D55" s="2056"/>
      <c r="E55" s="2056"/>
      <c r="F55" s="2056"/>
      <c r="H55" s="2044" t="s">
        <v>6778</v>
      </c>
      <c r="I55" s="3809">
        <v>5.3</v>
      </c>
      <c r="J55" s="3820"/>
      <c r="K55" s="3819"/>
      <c r="L55" s="2058"/>
      <c r="M55" s="2059" t="s">
        <v>6779</v>
      </c>
      <c r="N55" s="3809">
        <v>0.2</v>
      </c>
      <c r="O55" s="3819"/>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686" t="s">
        <v>7075</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6780</v>
      </c>
      <c r="I63" s="2062"/>
      <c r="J63" s="3809" t="s">
        <v>2813</v>
      </c>
      <c r="K63" s="3809"/>
      <c r="L63" s="3809"/>
      <c r="M63" s="3809"/>
      <c r="N63" s="3809"/>
      <c r="O63" s="3809"/>
      <c r="P63" s="3809"/>
      <c r="Q63" s="3810"/>
    </row>
    <row r="64" spans="1:17" ht="20.25" customHeight="1">
      <c r="A64" s="2053"/>
      <c r="B64" s="2030" t="s">
        <v>3947</v>
      </c>
      <c r="O64" s="2044"/>
      <c r="P64" s="2065" t="s">
        <v>2652</v>
      </c>
      <c r="Q64" s="2066"/>
    </row>
    <row r="65" spans="1:17" ht="33" customHeight="1">
      <c r="B65" s="2042"/>
      <c r="C65" s="3698" t="s">
        <v>6781</v>
      </c>
      <c r="D65" s="3698"/>
      <c r="E65" s="3698"/>
      <c r="F65" s="3698"/>
      <c r="G65" s="3698"/>
      <c r="H65" s="3698"/>
      <c r="I65" s="3698"/>
      <c r="J65" s="3698"/>
      <c r="K65" s="3698"/>
      <c r="L65" s="3698"/>
      <c r="M65" s="3698"/>
      <c r="N65" s="3698"/>
      <c r="O65" s="3698"/>
      <c r="P65" s="2065" t="s">
        <v>2652</v>
      </c>
      <c r="Q65" s="2066"/>
    </row>
    <row r="66" spans="1:17" ht="33" customHeight="1">
      <c r="A66" s="2053"/>
      <c r="B66" s="2042"/>
      <c r="C66" s="3698" t="s">
        <v>6782</v>
      </c>
      <c r="D66" s="3698"/>
      <c r="E66" s="3698"/>
      <c r="F66" s="3698"/>
      <c r="G66" s="3698"/>
      <c r="H66" s="3698"/>
      <c r="I66" s="3698"/>
      <c r="J66" s="3698"/>
      <c r="K66" s="3698"/>
      <c r="L66" s="3698"/>
      <c r="M66" s="3698"/>
      <c r="N66" s="3698"/>
      <c r="O66" s="3698"/>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18" t="s">
        <v>7074</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6783</v>
      </c>
      <c r="C74" s="3698"/>
      <c r="D74" s="3698"/>
      <c r="E74" s="3698"/>
      <c r="F74" s="3698"/>
      <c r="G74" s="3698"/>
      <c r="H74" s="3698"/>
      <c r="I74" s="3698"/>
      <c r="J74" s="3698"/>
      <c r="K74" s="3730"/>
      <c r="L74" s="3815" t="s">
        <v>7123</v>
      </c>
      <c r="M74" s="3816"/>
      <c r="N74" s="3816"/>
      <c r="O74" s="3816"/>
      <c r="P74" s="3817"/>
      <c r="Q74" s="3818"/>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811" t="s">
        <v>6790</v>
      </c>
      <c r="C82" s="3811"/>
      <c r="D82" s="3811"/>
      <c r="E82" s="3811"/>
      <c r="F82" s="3811"/>
      <c r="G82" s="3811"/>
      <c r="H82" s="3811"/>
      <c r="I82" s="3811"/>
      <c r="J82" s="3811"/>
      <c r="K82" s="3811"/>
      <c r="L82" s="3811"/>
      <c r="M82" s="3811"/>
      <c r="N82" s="3811"/>
      <c r="O82" s="3811"/>
      <c r="P82" s="3811"/>
      <c r="Q82" s="3811"/>
    </row>
    <row r="83" spans="1:23" ht="20.25" customHeight="1">
      <c r="B83" s="3809" t="s">
        <v>7129</v>
      </c>
      <c r="C83" s="3809"/>
      <c r="D83" s="3809"/>
      <c r="E83" s="3809"/>
      <c r="F83" s="3809"/>
      <c r="G83" s="3809"/>
      <c r="H83" s="3809"/>
      <c r="I83" s="3809"/>
      <c r="J83" s="3809"/>
      <c r="K83" s="3809"/>
      <c r="L83" s="3809"/>
      <c r="M83" s="3809"/>
      <c r="N83" s="3809"/>
      <c r="O83" s="3809"/>
      <c r="P83" s="3809"/>
      <c r="Q83" s="3810"/>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686" t="s">
        <v>7130</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7076</v>
      </c>
      <c r="M91" s="3813"/>
      <c r="N91" s="3814"/>
      <c r="O91" s="3684" t="s">
        <v>1646</v>
      </c>
      <c r="P91" s="3751"/>
      <c r="Q91" s="3685"/>
    </row>
    <row r="92" spans="1:23" ht="20.25" customHeight="1">
      <c r="A92" s="2053"/>
      <c r="B92" s="2030" t="s">
        <v>636</v>
      </c>
      <c r="G92" s="3809" t="s">
        <v>7077</v>
      </c>
      <c r="H92" s="3809"/>
      <c r="I92" s="3809"/>
      <c r="J92" s="3809"/>
      <c r="K92" s="3809"/>
      <c r="L92" s="3809"/>
      <c r="M92" s="3809"/>
      <c r="N92" s="3809"/>
      <c r="O92" s="3809"/>
      <c r="P92" s="3809"/>
      <c r="Q92" s="3810"/>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686" t="s">
        <v>7117</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686" t="s">
        <v>7118</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686" t="s">
        <v>7078</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6791</v>
      </c>
      <c r="H114" s="2030" t="s">
        <v>6792</v>
      </c>
      <c r="J114" s="3792" t="s">
        <v>2813</v>
      </c>
      <c r="K114" s="3793"/>
      <c r="L114" s="3793"/>
      <c r="M114" s="3793"/>
      <c r="N114" s="3793"/>
      <c r="O114" s="3793"/>
      <c r="P114" s="3793"/>
      <c r="Q114" s="3794"/>
    </row>
    <row r="115" spans="1:21" ht="20.25" customHeight="1">
      <c r="A115" s="2053"/>
      <c r="B115" s="2053"/>
      <c r="H115" s="2030" t="s">
        <v>6793</v>
      </c>
      <c r="J115" s="3795" t="s">
        <v>7079</v>
      </c>
      <c r="K115" s="3796"/>
      <c r="L115" s="3796"/>
      <c r="M115" s="3796"/>
      <c r="N115" s="3796"/>
      <c r="O115" s="3796"/>
      <c r="P115" s="3796"/>
      <c r="Q115" s="3797"/>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686" t="s">
        <v>7080</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6795</v>
      </c>
      <c r="H123" s="2030" t="s">
        <v>6796</v>
      </c>
      <c r="J123" s="3792" t="s">
        <v>7081</v>
      </c>
      <c r="K123" s="3793"/>
      <c r="L123" s="3793"/>
      <c r="M123" s="3793"/>
      <c r="N123" s="3793"/>
      <c r="O123" s="3793"/>
      <c r="P123" s="3793"/>
      <c r="Q123" s="3794"/>
      <c r="R123" s="2084"/>
    </row>
    <row r="124" spans="1:21" ht="20.25" customHeight="1">
      <c r="A124" s="2083"/>
      <c r="B124" s="2053"/>
      <c r="H124" s="2030" t="s">
        <v>6797</v>
      </c>
      <c r="J124" s="3795" t="s">
        <v>7081</v>
      </c>
      <c r="K124" s="3796"/>
      <c r="L124" s="3796"/>
      <c r="M124" s="3796"/>
      <c r="N124" s="3796"/>
      <c r="O124" s="3796"/>
      <c r="P124" s="3796"/>
      <c r="Q124" s="3797"/>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686" t="s">
        <v>7082</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6798</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98" t="s">
        <v>7083</v>
      </c>
      <c r="N134" s="3799"/>
      <c r="O134" s="3799"/>
      <c r="P134" s="3799"/>
      <c r="Q134" s="3800"/>
    </row>
    <row r="135" spans="1:17" ht="20.25" customHeight="1">
      <c r="A135" s="2053"/>
      <c r="B135" s="2043"/>
      <c r="C135" s="2043" t="s">
        <v>6717</v>
      </c>
      <c r="E135" s="2043"/>
      <c r="F135" s="2043"/>
      <c r="G135" s="2043"/>
      <c r="H135" s="2043"/>
      <c r="J135" s="2044"/>
      <c r="K135" s="2033"/>
      <c r="L135" s="2033"/>
      <c r="M135" s="3801" t="s">
        <v>7084</v>
      </c>
      <c r="N135" s="3802"/>
      <c r="O135" s="3802"/>
      <c r="P135" s="3802"/>
      <c r="Q135" s="3803"/>
    </row>
    <row r="136" spans="1:17" ht="20.25" customHeight="1">
      <c r="A136" s="2053"/>
      <c r="B136" s="2043"/>
      <c r="C136" s="3804" t="s">
        <v>6192</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3785</v>
      </c>
      <c r="E137" s="2043"/>
      <c r="F137" s="2043"/>
      <c r="G137" s="2043"/>
      <c r="H137" s="2043"/>
      <c r="J137" s="2044"/>
      <c r="K137" s="2033"/>
      <c r="L137" s="2033"/>
      <c r="M137" s="3795" t="s">
        <v>7085</v>
      </c>
      <c r="N137" s="3796"/>
      <c r="O137" s="3796"/>
      <c r="P137" s="3796"/>
      <c r="Q137" s="3797"/>
    </row>
    <row r="138" spans="1:17" ht="20.25" customHeight="1">
      <c r="A138" s="2053" t="s">
        <v>1843</v>
      </c>
      <c r="B138" s="3698" t="s">
        <v>6800</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6801</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3850</v>
      </c>
      <c r="D140" s="3778"/>
      <c r="E140" s="3778"/>
      <c r="F140" s="3778"/>
      <c r="G140" s="3778"/>
      <c r="H140" s="3779"/>
      <c r="I140" s="2033"/>
      <c r="J140" s="3789"/>
      <c r="K140" s="3790"/>
      <c r="L140" s="3790"/>
      <c r="M140" s="3790"/>
      <c r="N140" s="3790"/>
      <c r="O140" s="3790"/>
      <c r="P140" s="3790"/>
      <c r="Q140" s="3791"/>
    </row>
    <row r="141" spans="1:17" ht="15.75" customHeight="1">
      <c r="A141" s="2026"/>
      <c r="B141" s="2078" t="s">
        <v>1615</v>
      </c>
      <c r="C141" s="3780" t="s">
        <v>3849</v>
      </c>
      <c r="D141" s="3781"/>
      <c r="E141" s="3781"/>
      <c r="F141" s="3781"/>
      <c r="G141" s="3781"/>
      <c r="H141" s="3782"/>
      <c r="I141" s="2033"/>
      <c r="J141" s="3786"/>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c r="K142" s="3787"/>
      <c r="L142" s="3787"/>
      <c r="M142" s="3787"/>
      <c r="N142" s="3787"/>
      <c r="O142" s="3787"/>
      <c r="P142" s="3787"/>
      <c r="Q142" s="3788"/>
    </row>
    <row r="143" spans="1:17" ht="15.75" customHeight="1">
      <c r="A143" s="2026"/>
      <c r="B143" s="2078" t="s">
        <v>2182</v>
      </c>
      <c r="C143" s="3773" t="s">
        <v>950</v>
      </c>
      <c r="D143" s="3774"/>
      <c r="E143" s="3774"/>
      <c r="F143" s="3774"/>
      <c r="G143" s="3774"/>
      <c r="H143" s="3775"/>
      <c r="I143" s="2033"/>
      <c r="J143" s="3783"/>
      <c r="K143" s="3784"/>
      <c r="L143" s="3784"/>
      <c r="M143" s="3784"/>
      <c r="N143" s="3784"/>
      <c r="O143" s="3784"/>
      <c r="P143" s="3784"/>
      <c r="Q143" s="378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686" t="s">
        <v>7086</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6802</v>
      </c>
      <c r="C151" s="2033"/>
      <c r="D151" s="2033"/>
      <c r="E151" s="2033"/>
      <c r="F151" s="2033"/>
      <c r="G151" s="2033"/>
      <c r="H151" s="2033"/>
      <c r="I151" s="2033"/>
      <c r="J151" s="2033"/>
      <c r="K151" s="2033"/>
      <c r="L151" s="2033"/>
      <c r="M151" s="2033"/>
      <c r="N151" s="2031"/>
      <c r="O151" s="2033"/>
      <c r="P151" s="3702"/>
      <c r="Q151" s="3703"/>
    </row>
    <row r="152" spans="1:18" ht="20.25" customHeight="1">
      <c r="A152" s="2053"/>
      <c r="B152" s="2030" t="s">
        <v>1192</v>
      </c>
      <c r="G152" s="2033"/>
      <c r="H152" s="3752" t="s">
        <v>1646</v>
      </c>
      <c r="I152" s="3768"/>
      <c r="J152" s="3768"/>
      <c r="K152" s="3768"/>
      <c r="L152" s="3768"/>
      <c r="M152" s="3768"/>
      <c r="N152" s="3768"/>
      <c r="O152" s="3768"/>
      <c r="P152" s="3769"/>
      <c r="Q152" s="3770"/>
      <c r="R152" s="2062"/>
    </row>
    <row r="153" spans="1:18" ht="20.25" customHeight="1">
      <c r="A153" s="2053"/>
      <c r="B153" s="2030" t="s">
        <v>1806</v>
      </c>
      <c r="G153" s="2033"/>
      <c r="H153" s="3740"/>
      <c r="I153" s="3771"/>
      <c r="J153" s="3771"/>
      <c r="K153" s="3771"/>
      <c r="L153" s="3771"/>
      <c r="M153" s="3771"/>
      <c r="N153" s="3771"/>
      <c r="O153" s="3771"/>
      <c r="P153" s="3771"/>
      <c r="Q153" s="3772"/>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686" t="s">
        <v>7091</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686" t="s">
        <v>7087</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6197</v>
      </c>
      <c r="G168" s="2033"/>
      <c r="J168" s="2033"/>
      <c r="K168" s="2033"/>
      <c r="L168" s="2033"/>
      <c r="M168" s="2033"/>
      <c r="N168" s="2033"/>
      <c r="O168" s="2044"/>
      <c r="P168" s="2033"/>
      <c r="Q168" s="2033"/>
    </row>
    <row r="169" spans="1:17" ht="33" customHeight="1">
      <c r="B169" s="3689" t="s">
        <v>6803</v>
      </c>
      <c r="C169" s="3689"/>
      <c r="D169" s="3689"/>
      <c r="E169" s="3689"/>
      <c r="F169" s="3689"/>
      <c r="G169" s="3689"/>
      <c r="H169" s="3689"/>
      <c r="I169" s="3689"/>
      <c r="J169" s="3689"/>
      <c r="K169" s="3689"/>
      <c r="L169" s="3689"/>
      <c r="M169" s="3689"/>
      <c r="N169" s="3689"/>
      <c r="O169" s="3690"/>
      <c r="P169" s="3763" t="s">
        <v>7088</v>
      </c>
      <c r="Q169" s="3764"/>
    </row>
    <row r="170" spans="1:17" ht="20.25" customHeight="1">
      <c r="A170" s="2053" t="s">
        <v>1843</v>
      </c>
      <c r="B170" s="2029" t="s">
        <v>297</v>
      </c>
      <c r="G170" s="2033"/>
      <c r="H170" s="3691" t="s">
        <v>3333</v>
      </c>
      <c r="I170" s="3691"/>
      <c r="J170" s="3691"/>
      <c r="K170" s="3691"/>
      <c r="L170" s="3691"/>
      <c r="M170" s="3691"/>
      <c r="N170" s="3691"/>
      <c r="O170" s="3691"/>
      <c r="P170" s="3765"/>
      <c r="Q170" s="3765"/>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689" t="s">
        <v>6198</v>
      </c>
      <c r="C172" s="3689"/>
      <c r="D172" s="3689"/>
      <c r="E172" s="3689"/>
      <c r="F172" s="3689"/>
      <c r="G172" s="3689"/>
      <c r="H172" s="3689"/>
      <c r="I172" s="3689"/>
      <c r="J172" s="3689"/>
      <c r="K172" s="3689"/>
      <c r="L172" s="3689"/>
      <c r="M172" s="3689"/>
      <c r="N172" s="2438" t="s">
        <v>6199</v>
      </c>
      <c r="O172" s="2078" t="s">
        <v>698</v>
      </c>
      <c r="P172" s="3766" t="s">
        <v>7088</v>
      </c>
      <c r="Q172" s="3767"/>
    </row>
    <row r="173" spans="1:17" ht="20.25" customHeight="1">
      <c r="B173" s="2060" t="s">
        <v>3239</v>
      </c>
      <c r="M173" s="2031"/>
      <c r="N173" s="2031"/>
      <c r="O173" s="2088"/>
      <c r="P173" s="2026"/>
    </row>
    <row r="174" spans="1:17" ht="20.25" customHeight="1">
      <c r="A174" s="3686" t="s">
        <v>7089</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6802</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6804</v>
      </c>
      <c r="C181" s="3698"/>
      <c r="D181" s="3698"/>
      <c r="E181" s="3698"/>
      <c r="F181" s="3698"/>
      <c r="G181" s="3698"/>
      <c r="H181" s="3698"/>
      <c r="I181" s="3698"/>
      <c r="J181" s="3698"/>
      <c r="K181" s="3698"/>
      <c r="L181" s="3698"/>
      <c r="M181" s="3698"/>
      <c r="N181" s="3698"/>
      <c r="O181" s="3698"/>
      <c r="P181" s="3695" t="s">
        <v>7088</v>
      </c>
      <c r="Q181" s="3696"/>
    </row>
    <row r="182" spans="1:17" ht="12" customHeight="1">
      <c r="A182" s="2033"/>
      <c r="C182" s="2033"/>
      <c r="D182" s="2033"/>
      <c r="E182" s="2033"/>
      <c r="F182" s="2033"/>
      <c r="G182" s="2033"/>
      <c r="H182" s="2033"/>
      <c r="I182" s="2033"/>
      <c r="J182" s="2033"/>
      <c r="K182" s="2033"/>
      <c r="L182" s="3759" t="s">
        <v>6805</v>
      </c>
      <c r="M182" s="3759"/>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6806</v>
      </c>
      <c r="M183" s="2031" t="s">
        <v>6807</v>
      </c>
      <c r="N183" s="2092"/>
      <c r="O183" s="2044"/>
      <c r="P183" s="2044"/>
      <c r="Q183" s="2044"/>
    </row>
    <row r="184" spans="1:17" ht="20.25" customHeight="1">
      <c r="A184" s="2053"/>
      <c r="B184" s="2030" t="s">
        <v>6808</v>
      </c>
      <c r="C184" s="2033"/>
      <c r="D184" s="2056"/>
      <c r="E184" s="2056"/>
      <c r="F184" s="2056"/>
      <c r="G184" s="2056"/>
      <c r="H184" s="2033"/>
      <c r="K184" s="2093"/>
      <c r="L184" s="2094">
        <f>ROUNDUP('Part V-Revenues &amp; Expenses'!$P$67*M184,0)</f>
        <v>5</v>
      </c>
      <c r="M184" s="2095">
        <f>'DCA Underwriting Assumptions'!$Q$122</f>
        <v>0.05</v>
      </c>
      <c r="N184" s="2033"/>
      <c r="O184" s="2044"/>
      <c r="P184" s="3702">
        <v>5</v>
      </c>
      <c r="Q184" s="3754"/>
    </row>
    <row r="185" spans="1:17" ht="20.25" customHeight="1">
      <c r="A185" s="2053"/>
      <c r="B185" s="2043"/>
      <c r="D185" s="3698" t="s">
        <v>6809</v>
      </c>
      <c r="E185" s="3698"/>
      <c r="F185" s="3698"/>
      <c r="G185" s="3698"/>
      <c r="H185" s="3698"/>
      <c r="I185" s="3698"/>
      <c r="J185" s="3698"/>
      <c r="K185" s="2093"/>
      <c r="L185" s="2096">
        <f>ROUNDUP(L184*M185,0)</f>
        <v>2</v>
      </c>
      <c r="M185" s="2095">
        <f>'DCA Underwriting Assumptions'!$Q$123</f>
        <v>0.4</v>
      </c>
      <c r="N185" s="2033"/>
      <c r="O185" s="2044"/>
      <c r="P185" s="3704">
        <v>2</v>
      </c>
      <c r="Q185" s="3760"/>
    </row>
    <row r="186" spans="1:17" ht="20.25" customHeight="1">
      <c r="A186" s="2053"/>
      <c r="B186" s="3698" t="s">
        <v>6810</v>
      </c>
      <c r="C186" s="3698"/>
      <c r="D186" s="3698"/>
      <c r="E186" s="3698"/>
      <c r="F186" s="3698"/>
      <c r="G186" s="3698"/>
      <c r="H186" s="3698"/>
      <c r="I186" s="3698"/>
      <c r="J186" s="3698"/>
      <c r="K186" s="2033"/>
      <c r="L186" s="2097">
        <f>ROUNDUP('Part V-Revenues &amp; Expenses'!$P$67*M186,0)</f>
        <v>2</v>
      </c>
      <c r="M186" s="2095">
        <f>'DCA Underwriting Assumptions'!$Q$124</f>
        <v>0.02</v>
      </c>
      <c r="N186" s="2033"/>
      <c r="O186" s="2044"/>
      <c r="P186" s="3695">
        <v>2</v>
      </c>
      <c r="Q186" s="3755"/>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686" t="s">
        <v>7119</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6802</v>
      </c>
      <c r="P194" s="3702" t="s">
        <v>2652</v>
      </c>
      <c r="Q194" s="3754"/>
    </row>
    <row r="195" spans="1:17" ht="36" customHeight="1">
      <c r="B195" s="3698" t="s">
        <v>6811</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6911</v>
      </c>
      <c r="D197" s="3689"/>
      <c r="E197" s="3689"/>
      <c r="F197" s="3756" t="s">
        <v>6304</v>
      </c>
      <c r="G197" s="3757"/>
      <c r="H197" s="3757"/>
      <c r="I197" s="3757"/>
      <c r="J197" s="3757"/>
      <c r="K197" s="3757"/>
      <c r="L197" s="3757"/>
      <c r="M197" s="3757"/>
      <c r="N197" s="3757"/>
      <c r="O197" s="3757"/>
      <c r="P197" s="3757"/>
      <c r="Q197" s="3758"/>
    </row>
    <row r="198" spans="1:17" ht="30" customHeight="1">
      <c r="B198" s="2078" t="s">
        <v>1615</v>
      </c>
      <c r="C198" s="3689" t="s">
        <v>6912</v>
      </c>
      <c r="D198" s="3689"/>
      <c r="E198" s="3689"/>
      <c r="F198" s="3689"/>
      <c r="G198" s="3690"/>
      <c r="H198" s="3756" t="s">
        <v>3248</v>
      </c>
      <c r="I198" s="3757"/>
      <c r="J198" s="3757"/>
      <c r="K198" s="3757"/>
      <c r="L198" s="3757"/>
      <c r="M198" s="3757"/>
      <c r="N198" s="3757"/>
      <c r="O198" s="3757"/>
      <c r="P198" s="3757"/>
      <c r="Q198" s="3758"/>
    </row>
    <row r="199" spans="1:17" ht="20.25" customHeight="1">
      <c r="A199" s="2053"/>
      <c r="B199" s="2078" t="s">
        <v>1616</v>
      </c>
      <c r="C199" s="3698" t="s">
        <v>6812</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686" t="s">
        <v>7110</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44"/>
      <c r="Q208" s="3745"/>
    </row>
    <row r="209" spans="1:17" ht="20.25" customHeight="1">
      <c r="A209" s="2053"/>
      <c r="B209" s="2030" t="s">
        <v>6813</v>
      </c>
      <c r="O209" s="2044"/>
      <c r="P209" s="3746" t="s">
        <v>7090</v>
      </c>
      <c r="Q209" s="3747"/>
    </row>
    <row r="210" spans="1:17" ht="20.25" customHeight="1">
      <c r="A210" s="2053"/>
      <c r="B210" s="2030" t="s">
        <v>6814</v>
      </c>
      <c r="O210" s="2044"/>
      <c r="P210" s="3734" t="s">
        <v>7090</v>
      </c>
      <c r="Q210" s="3735"/>
    </row>
    <row r="211" spans="1:17" ht="22.5" customHeight="1">
      <c r="A211" s="2053"/>
      <c r="B211" s="2030" t="s">
        <v>6815</v>
      </c>
      <c r="C211" s="2033"/>
      <c r="K211" s="2031"/>
      <c r="M211" s="2044"/>
      <c r="O211" s="2100"/>
      <c r="P211" s="3734" t="s">
        <v>2652</v>
      </c>
      <c r="Q211" s="3735"/>
    </row>
    <row r="212" spans="1:17" ht="31.5" customHeight="1">
      <c r="A212" s="2053"/>
      <c r="B212" s="3698" t="s">
        <v>6816</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6817</v>
      </c>
      <c r="M213" s="2033"/>
      <c r="N213" s="2033"/>
      <c r="O213" s="3748" t="s">
        <v>4047</v>
      </c>
      <c r="P213" s="3749"/>
      <c r="Q213" s="3750"/>
    </row>
    <row r="214" spans="1:17" ht="20.25" customHeight="1">
      <c r="A214" s="2053"/>
      <c r="B214" s="2029" t="s">
        <v>6818</v>
      </c>
      <c r="G214" s="3684"/>
      <c r="H214" s="3751"/>
      <c r="I214" s="3751"/>
      <c r="J214" s="3751"/>
      <c r="K214" s="3751"/>
      <c r="L214" s="368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18" t="s">
        <v>7120</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6819</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1841</v>
      </c>
      <c r="B223" s="3733" t="s">
        <v>6820</v>
      </c>
      <c r="C223" s="3733"/>
      <c r="D223" s="3733"/>
      <c r="E223" s="3733"/>
      <c r="F223" s="3733"/>
      <c r="G223" s="3733"/>
      <c r="H223" s="3733"/>
      <c r="I223" s="3733"/>
      <c r="J223" s="3733"/>
      <c r="K223" s="3733"/>
      <c r="L223" s="3733"/>
      <c r="M223" s="3733"/>
      <c r="N223" s="3733"/>
      <c r="O223" s="3733"/>
      <c r="P223" s="2063"/>
      <c r="Q223" s="2439"/>
    </row>
    <row r="224" spans="1:17" ht="47.25" customHeight="1">
      <c r="A224" s="2071" t="s">
        <v>1843</v>
      </c>
      <c r="B224" s="3689" t="s">
        <v>6821</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6822</v>
      </c>
      <c r="C225" s="3710"/>
      <c r="D225" s="3710"/>
      <c r="E225" s="3710"/>
      <c r="F225" s="3710"/>
      <c r="G225" s="3710"/>
      <c r="H225" s="3710"/>
      <c r="I225" s="3710"/>
      <c r="J225" s="3710"/>
      <c r="K225" s="3710"/>
      <c r="L225" s="3710"/>
      <c r="M225" s="3710"/>
      <c r="N225" s="3710"/>
      <c r="O225" s="3710"/>
      <c r="P225" s="2063"/>
      <c r="Q225" s="2064"/>
    </row>
    <row r="226" spans="1:17" ht="33.75" customHeight="1">
      <c r="A226" s="2071" t="s">
        <v>1962</v>
      </c>
      <c r="B226" s="3689" t="s">
        <v>6823</v>
      </c>
      <c r="C226" s="3689"/>
      <c r="D226" s="3689"/>
      <c r="E226" s="3689"/>
      <c r="F226" s="3689"/>
      <c r="G226" s="3689"/>
      <c r="H226" s="3689"/>
      <c r="I226" s="3689"/>
      <c r="J226" s="3689"/>
      <c r="K226" s="3689"/>
      <c r="L226" s="3689"/>
      <c r="M226" s="3689"/>
      <c r="N226" s="3689"/>
      <c r="O226" s="3689"/>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18" t="s">
        <v>7091</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3358</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3359</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6824</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6825</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6826</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6827</v>
      </c>
      <c r="D239" s="3689"/>
      <c r="E239" s="3689"/>
      <c r="F239" s="3689"/>
      <c r="G239" s="3689"/>
      <c r="H239" s="3689"/>
      <c r="I239" s="3689"/>
      <c r="J239" s="3689"/>
      <c r="K239" s="3689"/>
      <c r="L239" s="3689"/>
      <c r="M239" s="3689"/>
      <c r="N239" s="3689"/>
      <c r="O239" s="3689"/>
      <c r="P239" s="3689"/>
      <c r="Q239" s="3689"/>
    </row>
    <row r="240" spans="1:17" ht="29.25" customHeight="1">
      <c r="A240" s="2053"/>
      <c r="B240" s="2104" t="s">
        <v>3864</v>
      </c>
      <c r="C240" s="3689" t="s">
        <v>6828</v>
      </c>
      <c r="D240" s="3689"/>
      <c r="E240" s="3689"/>
      <c r="F240" s="3689"/>
      <c r="G240" s="3689"/>
      <c r="H240" s="3689"/>
      <c r="I240" s="3689"/>
      <c r="J240" s="3689"/>
      <c r="K240" s="3689"/>
      <c r="L240" s="3689"/>
      <c r="M240" s="3689"/>
      <c r="N240" s="3689"/>
      <c r="O240" s="3689"/>
      <c r="P240" s="3689"/>
      <c r="Q240" s="3689"/>
    </row>
    <row r="241" spans="1:17" ht="15.75" customHeight="1">
      <c r="A241" s="2053"/>
      <c r="B241" s="2104" t="s">
        <v>6829</v>
      </c>
      <c r="C241" s="3689" t="s">
        <v>6830</v>
      </c>
      <c r="D241" s="3689"/>
      <c r="E241" s="3689"/>
      <c r="F241" s="3689"/>
      <c r="G241" s="3689"/>
      <c r="H241" s="3689"/>
      <c r="I241" s="3689"/>
      <c r="J241" s="3689"/>
      <c r="K241" s="3689"/>
      <c r="L241" s="3689"/>
      <c r="M241" s="3689"/>
      <c r="N241" s="3689"/>
      <c r="O241" s="3689"/>
      <c r="P241" s="3689"/>
      <c r="Q241" s="3689"/>
    </row>
    <row r="242" spans="1:17" ht="20.25" customHeight="1">
      <c r="B242" s="2044" t="s">
        <v>6831</v>
      </c>
      <c r="C242" s="2043" t="s">
        <v>6832</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686" t="s">
        <v>7091</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c r="Q250" s="3703"/>
    </row>
    <row r="251" spans="1:17" ht="20.25" customHeight="1">
      <c r="A251" s="2053"/>
      <c r="B251" s="2030" t="s">
        <v>3142</v>
      </c>
      <c r="D251" s="2056"/>
      <c r="E251" s="2056"/>
      <c r="O251" s="2044"/>
      <c r="P251" s="3704"/>
      <c r="Q251" s="3705"/>
    </row>
    <row r="252" spans="1:17" ht="20.25" customHeight="1">
      <c r="A252" s="2053"/>
      <c r="B252" s="2030" t="s">
        <v>4030</v>
      </c>
      <c r="D252" s="2056"/>
      <c r="E252" s="2056"/>
      <c r="O252" s="2044"/>
      <c r="P252" s="3706"/>
      <c r="Q252" s="3707"/>
    </row>
    <row r="253" spans="1:17" ht="20.25" customHeight="1">
      <c r="A253" s="2053"/>
      <c r="B253" s="2030" t="s">
        <v>3143</v>
      </c>
      <c r="O253" s="2044"/>
      <c r="P253" s="3704"/>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686" t="s">
        <v>7092</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684"/>
      <c r="Q261" s="3685"/>
    </row>
    <row r="262" spans="1:17" ht="20.25" customHeight="1">
      <c r="B262" s="2030" t="s">
        <v>6250</v>
      </c>
      <c r="O262" s="2044"/>
      <c r="P262" s="3699"/>
      <c r="Q262" s="3700"/>
    </row>
    <row r="263" spans="1:17" ht="20.25" customHeight="1">
      <c r="A263" s="2053" t="s">
        <v>1841</v>
      </c>
      <c r="B263" s="2029" t="s">
        <v>3937</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c r="Q264" s="3703"/>
    </row>
    <row r="265" spans="1:17" ht="20.25" customHeight="1">
      <c r="B265" s="3701" t="s">
        <v>4032</v>
      </c>
      <c r="C265" s="3701"/>
      <c r="D265" s="3701"/>
      <c r="E265" s="3701"/>
      <c r="F265" s="3701"/>
      <c r="G265" s="3701"/>
      <c r="H265" s="3701"/>
      <c r="I265" s="3701"/>
      <c r="J265" s="3701"/>
      <c r="K265" s="3701"/>
      <c r="L265" s="3701"/>
      <c r="M265" s="3701"/>
      <c r="N265" s="3701"/>
      <c r="O265" s="3701"/>
      <c r="P265" s="3704"/>
      <c r="Q265" s="3705"/>
    </row>
    <row r="266" spans="1:17" ht="32.25" customHeight="1">
      <c r="A266" s="2053"/>
      <c r="B266" s="3694" t="s">
        <v>6833</v>
      </c>
      <c r="C266" s="3694"/>
      <c r="D266" s="3694"/>
      <c r="E266" s="3694"/>
      <c r="F266" s="3694"/>
      <c r="G266" s="3694"/>
      <c r="H266" s="3694"/>
      <c r="I266" s="3694"/>
      <c r="J266" s="3694"/>
      <c r="K266" s="3694"/>
      <c r="L266" s="3694"/>
      <c r="M266" s="3694"/>
      <c r="N266" s="3694"/>
      <c r="O266" s="3694"/>
      <c r="P266" s="3695"/>
      <c r="Q266" s="3696"/>
    </row>
    <row r="267" spans="1:17" ht="20.25" customHeight="1">
      <c r="B267" s="2060" t="s">
        <v>3239</v>
      </c>
      <c r="D267" s="2060"/>
      <c r="E267" s="2060"/>
      <c r="F267" s="2060"/>
      <c r="G267" s="2060"/>
      <c r="H267" s="2043"/>
      <c r="I267" s="2031"/>
      <c r="J267" s="2031"/>
      <c r="K267" s="2031"/>
    </row>
    <row r="268" spans="1:17" ht="20.25" customHeight="1">
      <c r="A268" s="3686" t="s">
        <v>7125</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697"/>
      <c r="Q273" s="3697"/>
    </row>
    <row r="274" spans="1:17" ht="33" customHeight="1">
      <c r="A274" s="2033"/>
      <c r="B274" s="3698" t="s">
        <v>6834</v>
      </c>
      <c r="C274" s="3698"/>
      <c r="D274" s="3698"/>
      <c r="E274" s="3698"/>
      <c r="F274" s="3698"/>
      <c r="G274" s="3698"/>
      <c r="H274" s="3698"/>
      <c r="I274" s="3698"/>
      <c r="J274" s="3698"/>
      <c r="K274" s="3698"/>
      <c r="L274" s="3698"/>
      <c r="M274" s="3698"/>
      <c r="N274" s="3698"/>
      <c r="O274" s="2105"/>
      <c r="P274" s="3699" t="s">
        <v>7088</v>
      </c>
      <c r="Q274" s="3700"/>
    </row>
    <row r="275" spans="1:17" ht="34.5" customHeight="1">
      <c r="A275" s="2033"/>
      <c r="B275" s="2078" t="s">
        <v>1841</v>
      </c>
      <c r="C275" s="3689" t="s">
        <v>3311</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6835</v>
      </c>
      <c r="D276" s="3689"/>
      <c r="E276" s="3689"/>
      <c r="F276" s="3689"/>
      <c r="G276" s="3689"/>
      <c r="H276" s="3689"/>
      <c r="I276" s="3689"/>
      <c r="J276" s="3689"/>
      <c r="K276" s="3689"/>
      <c r="L276" s="3689"/>
      <c r="M276" s="3689"/>
      <c r="N276" s="3689"/>
      <c r="O276" s="3689"/>
      <c r="P276" s="2056"/>
      <c r="Q276" s="2026"/>
    </row>
    <row r="277" spans="1:17" ht="34.5" customHeight="1">
      <c r="A277" s="2033"/>
      <c r="C277" s="2436" t="s">
        <v>1844</v>
      </c>
      <c r="D277" s="3689" t="s">
        <v>3866</v>
      </c>
      <c r="E277" s="3689"/>
      <c r="F277" s="3689"/>
      <c r="G277" s="3689"/>
      <c r="H277" s="3689"/>
      <c r="I277" s="3689"/>
      <c r="J277" s="3689"/>
      <c r="K277" s="3689"/>
      <c r="L277" s="3689"/>
      <c r="M277" s="3689"/>
      <c r="N277" s="3689"/>
      <c r="O277" s="3689"/>
      <c r="P277" s="2044"/>
      <c r="Q277" s="2026"/>
    </row>
    <row r="278" spans="1:17" ht="15" customHeight="1">
      <c r="A278" s="2033"/>
      <c r="C278" s="2436" t="s">
        <v>1846</v>
      </c>
      <c r="D278" s="3692" t="s">
        <v>3867</v>
      </c>
      <c r="E278" s="3692"/>
      <c r="F278" s="3692"/>
      <c r="G278" s="3692"/>
      <c r="H278" s="3692"/>
      <c r="I278" s="3692"/>
      <c r="J278" s="3692"/>
      <c r="K278" s="3692"/>
      <c r="L278" s="3692"/>
      <c r="M278" s="3692"/>
      <c r="N278" s="3692"/>
      <c r="O278" s="3692"/>
      <c r="P278" s="2044"/>
      <c r="Q278" s="2026"/>
    </row>
    <row r="279" spans="1:17" ht="48" customHeight="1">
      <c r="A279" s="2033"/>
      <c r="C279" s="2436" t="s">
        <v>2332</v>
      </c>
      <c r="D279" s="3693" t="s">
        <v>3868</v>
      </c>
      <c r="E279" s="3693"/>
      <c r="F279" s="3693"/>
      <c r="G279" s="3693"/>
      <c r="H279" s="3693"/>
      <c r="I279" s="3693"/>
      <c r="J279" s="3693"/>
      <c r="K279" s="3693"/>
      <c r="L279" s="3693"/>
      <c r="M279" s="3693"/>
      <c r="N279" s="3693"/>
      <c r="O279" s="3693"/>
      <c r="P279" s="2044"/>
      <c r="Q279" s="2026"/>
    </row>
    <row r="280" spans="1:17" ht="48" customHeight="1">
      <c r="A280" s="2033"/>
      <c r="C280" s="2436" t="s">
        <v>1150</v>
      </c>
      <c r="D280" s="3693" t="s">
        <v>3869</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3312</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3917</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3918</v>
      </c>
      <c r="D283" s="3689"/>
      <c r="E283" s="3689"/>
      <c r="F283" s="3689"/>
      <c r="G283" s="3689"/>
      <c r="H283" s="3689"/>
      <c r="I283" s="3689"/>
      <c r="J283" s="3689"/>
      <c r="K283" s="3689"/>
      <c r="L283" s="3689"/>
      <c r="M283" s="3689"/>
      <c r="N283" s="3689"/>
      <c r="O283" s="3689"/>
      <c r="P283" s="2076"/>
      <c r="Q283" s="2026"/>
    </row>
    <row r="284" spans="1:17" ht="47.25" customHeight="1">
      <c r="A284" s="2071"/>
      <c r="B284" s="3689" t="s">
        <v>6836</v>
      </c>
      <c r="C284" s="3689"/>
      <c r="D284" s="3689"/>
      <c r="E284" s="3689"/>
      <c r="F284" s="3689"/>
      <c r="G284" s="3689"/>
      <c r="H284" s="3689"/>
      <c r="I284" s="3689"/>
      <c r="J284" s="3689"/>
      <c r="K284" s="3689"/>
      <c r="L284" s="3689"/>
      <c r="M284" s="3689"/>
      <c r="N284" s="3689"/>
      <c r="O284" s="3690"/>
      <c r="P284" s="3691" t="s">
        <v>7088</v>
      </c>
      <c r="Q284" s="3691"/>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686" t="s">
        <v>7093</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686" t="s">
        <v>7094</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6837</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401" zoomScale="85" zoomScaleNormal="85" workbookViewId="0">
      <selection activeCell="S340" sqref="S340"/>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898" t="str">
        <f>CONCATENATE("PART EIGHT - SCORING CRITERIA","  -  ",'Part I-Project Identification'!$O$7," ",'Part I-Project Identification'!$F$25,", ",'Part I-Project Identification'!F26,", ",'Part I-Project Identification'!J26," County")</f>
        <v>PART EIGHT - SCORING CRITERIA  -  2023-0 Helix, Riverdale, Clayton County</v>
      </c>
      <c r="B1" s="3899"/>
      <c r="C1" s="3899"/>
      <c r="D1" s="3899"/>
      <c r="E1" s="3899"/>
      <c r="F1" s="3899"/>
      <c r="G1" s="3899"/>
      <c r="H1" s="3899"/>
      <c r="I1" s="3899"/>
      <c r="J1" s="3899"/>
      <c r="K1" s="3899"/>
      <c r="L1" s="3899"/>
      <c r="M1" s="3899"/>
      <c r="N1" s="3899"/>
      <c r="O1" s="3899"/>
      <c r="P1" s="3900"/>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1" t="s">
        <v>6840</v>
      </c>
      <c r="B3" s="3901"/>
      <c r="C3" s="3901"/>
      <c r="D3" s="3901"/>
      <c r="E3" s="3901"/>
      <c r="F3" s="3901"/>
      <c r="G3" s="3901"/>
      <c r="H3" s="3901"/>
      <c r="I3" s="3901"/>
      <c r="J3" s="3901"/>
      <c r="K3" s="3901"/>
      <c r="L3" s="3901"/>
      <c r="M3" s="2125"/>
      <c r="N3" s="2123"/>
      <c r="O3" s="2126" t="s">
        <v>2050</v>
      </c>
      <c r="P3" s="2127" t="s">
        <v>245</v>
      </c>
      <c r="Q3" s="2118"/>
      <c r="R3" s="2118"/>
      <c r="S3" s="2118"/>
      <c r="T3" s="2118"/>
      <c r="U3" s="2118"/>
      <c r="V3" s="2118"/>
      <c r="W3" s="2118"/>
      <c r="X3" s="2119"/>
    </row>
    <row r="4" spans="1:25" s="2121" customFormat="1" ht="16.5" customHeight="1">
      <c r="A4" s="3901"/>
      <c r="B4" s="3901"/>
      <c r="C4" s="3901"/>
      <c r="D4" s="3901"/>
      <c r="E4" s="3901"/>
      <c r="F4" s="3901"/>
      <c r="G4" s="3901"/>
      <c r="H4" s="3901"/>
      <c r="I4" s="3901"/>
      <c r="J4" s="3901"/>
      <c r="K4" s="3901"/>
      <c r="L4" s="3901"/>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2" t="str">
        <f>'Part I-Project Identification'!$A$6</f>
        <v>April 2023</v>
      </c>
      <c r="C6" s="3902"/>
      <c r="D6" s="3902"/>
      <c r="E6" s="3902"/>
      <c r="F6" s="3902"/>
      <c r="L6" s="2124" t="s">
        <v>1152</v>
      </c>
      <c r="M6" s="2133"/>
      <c r="N6" s="2134"/>
      <c r="O6" s="2135">
        <f>O404</f>
        <v>73.5</v>
      </c>
      <c r="P6" s="2135">
        <f>P404</f>
        <v>22</v>
      </c>
      <c r="Q6" s="2136" t="s">
        <v>6841</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6842</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3903" t="s">
        <v>6495</v>
      </c>
      <c r="G12" s="3903"/>
      <c r="H12" s="3903"/>
      <c r="I12" s="3903"/>
      <c r="J12" s="3903"/>
      <c r="K12" s="3903"/>
      <c r="L12" s="3903"/>
      <c r="M12" s="3903"/>
      <c r="N12" s="3903"/>
      <c r="O12" s="2148" t="s">
        <v>3809</v>
      </c>
      <c r="P12" s="2149">
        <f>SUM(P13:P31)</f>
        <v>0</v>
      </c>
      <c r="Q12" s="3904"/>
      <c r="R12" s="3904"/>
      <c r="S12" s="3904"/>
      <c r="T12" s="3904"/>
      <c r="U12" s="3904"/>
      <c r="V12" s="2150"/>
    </row>
    <row r="13" spans="1:25" s="2121" customFormat="1" ht="14.45" customHeight="1">
      <c r="A13" s="2151" t="s">
        <v>1668</v>
      </c>
      <c r="B13" s="2152" t="s">
        <v>3393</v>
      </c>
      <c r="C13" s="2153"/>
      <c r="D13" s="2154"/>
      <c r="E13" s="2155">
        <f>$O$77</f>
        <v>20</v>
      </c>
      <c r="F13" s="3905" t="str">
        <f>$A$81</f>
        <v xml:space="preserve">The development has fourteen (15) desirable activities within 1.5 miles from the site entrance (per Google Maps). Six (6) of these activities are within .5 miles walking distance from the proposed site entrance. There are no undersirables near the site. Little Giant Farmers Market is located 0.3 miles from the site. </v>
      </c>
      <c r="G13" s="3906"/>
      <c r="H13" s="3906"/>
      <c r="I13" s="3906"/>
      <c r="J13" s="3906"/>
      <c r="K13" s="3906"/>
      <c r="L13" s="3906"/>
      <c r="M13" s="3906"/>
      <c r="N13" s="3906"/>
      <c r="O13" s="3906"/>
      <c r="P13" s="2156"/>
      <c r="Q13" s="3904"/>
      <c r="R13" s="3904"/>
      <c r="S13" s="3904"/>
      <c r="T13" s="3904"/>
      <c r="U13" s="3904"/>
      <c r="V13" s="2150"/>
    </row>
    <row r="14" spans="1:25" s="2121" customFormat="1" ht="14.45" customHeight="1">
      <c r="A14" s="2151" t="s">
        <v>496</v>
      </c>
      <c r="B14" s="2157" t="s">
        <v>4037</v>
      </c>
      <c r="C14" s="2158"/>
      <c r="D14" s="2159"/>
      <c r="E14" s="2160">
        <f>$O$86</f>
        <v>4.5</v>
      </c>
      <c r="F14" s="3846" t="str">
        <f>$A$102</f>
        <v>The development is located within a 0.4 mile walking distance to an established transit HUB that has 3 routes and runs Monday-Friday. The stop is labeled as stop #212419 per MARTAs interactive map and contains bus routes #89, #191, and #198. This service is provided to the general public, and is therefore available to all residents. The MARTA link above takes the user to the route search page allowing them to locate the stops along each route and see service times. Fares are a separate link for all MARTA services, and a PDF of this page is provided in 2702HelxWebPgCosts along with route maps for each route in the transit HUB and a Map from site to the transit HUB.</v>
      </c>
      <c r="G14" s="3847"/>
      <c r="H14" s="3847"/>
      <c r="I14" s="3847"/>
      <c r="J14" s="3847"/>
      <c r="K14" s="3847"/>
      <c r="L14" s="3847"/>
      <c r="M14" s="3847"/>
      <c r="N14" s="3847"/>
      <c r="O14" s="3848"/>
      <c r="P14" s="2162"/>
      <c r="Q14" s="3904"/>
      <c r="R14" s="3904"/>
      <c r="S14" s="3904"/>
      <c r="T14" s="3904"/>
      <c r="U14" s="3904"/>
    </row>
    <row r="15" spans="1:25" s="2121" customFormat="1" ht="14.45" customHeight="1">
      <c r="A15" s="2151" t="s">
        <v>720</v>
      </c>
      <c r="B15" s="2157" t="s">
        <v>3338</v>
      </c>
      <c r="C15" s="2158"/>
      <c r="D15" s="2159"/>
      <c r="E15" s="2160">
        <f>$O$106</f>
        <v>3</v>
      </c>
      <c r="F15" s="3846" t="str">
        <f>$A$117</f>
        <v>Project is achieving 3 points under VII. Quality Education Areas, Section B by having all grades K-12 achieving BTO designations in 2018.</v>
      </c>
      <c r="G15" s="3847"/>
      <c r="H15" s="3847"/>
      <c r="I15" s="3847"/>
      <c r="J15" s="3847"/>
      <c r="K15" s="3847"/>
      <c r="L15" s="3847"/>
      <c r="M15" s="3847"/>
      <c r="N15" s="3847"/>
      <c r="O15" s="3848"/>
      <c r="P15" s="2162"/>
      <c r="Q15" s="2163"/>
      <c r="R15" s="2163"/>
      <c r="S15" s="2163"/>
      <c r="T15" s="2163"/>
      <c r="U15" s="2163"/>
    </row>
    <row r="16" spans="1:25" s="2121" customFormat="1" ht="14.45" customHeight="1">
      <c r="A16" s="2164" t="s">
        <v>280</v>
      </c>
      <c r="B16" s="2157" t="s">
        <v>3394</v>
      </c>
      <c r="C16" s="2158"/>
      <c r="D16" s="2159"/>
      <c r="E16" s="2456">
        <f>$O$122</f>
        <v>0</v>
      </c>
      <c r="F16" s="3846" t="str">
        <f>$A$137</f>
        <v>This section is NA</v>
      </c>
      <c r="G16" s="3847"/>
      <c r="H16" s="3847"/>
      <c r="I16" s="3847"/>
      <c r="J16" s="3847"/>
      <c r="K16" s="3847"/>
      <c r="L16" s="3847"/>
      <c r="M16" s="3847"/>
      <c r="N16" s="3847"/>
      <c r="O16" s="3848"/>
      <c r="P16" s="2162"/>
      <c r="Q16" s="2163"/>
      <c r="R16" s="2163"/>
      <c r="S16" s="2163"/>
      <c r="T16" s="2163"/>
      <c r="U16" s="2163"/>
    </row>
    <row r="17" spans="1:35" s="2121" customFormat="1" ht="14.45" customHeight="1">
      <c r="A17" s="2151" t="s">
        <v>401</v>
      </c>
      <c r="B17" s="2166" t="s">
        <v>3395</v>
      </c>
      <c r="C17" s="2167"/>
      <c r="D17" s="2168"/>
      <c r="E17" s="2169" t="s">
        <v>1610</v>
      </c>
      <c r="F17" s="3910" t="str">
        <f>$A$147</f>
        <v>This Section is NA</v>
      </c>
      <c r="G17" s="3911"/>
      <c r="H17" s="3911"/>
      <c r="I17" s="3911"/>
      <c r="J17" s="3911"/>
      <c r="K17" s="3911"/>
      <c r="L17" s="3911"/>
      <c r="M17" s="3911"/>
      <c r="N17" s="3911"/>
      <c r="O17" s="3912"/>
      <c r="P17" s="2162"/>
      <c r="Q17" s="2163"/>
      <c r="R17" s="2163"/>
      <c r="S17" s="2163"/>
      <c r="T17" s="2163"/>
      <c r="U17" s="2163"/>
    </row>
    <row r="18" spans="1:35" s="2121" customFormat="1" ht="14.45" customHeight="1">
      <c r="A18" s="2151" t="s">
        <v>342</v>
      </c>
      <c r="B18" s="2157" t="s">
        <v>4038</v>
      </c>
      <c r="C18" s="2158"/>
      <c r="D18" s="2159"/>
      <c r="E18" s="2170">
        <f>$O$152</f>
        <v>7</v>
      </c>
      <c r="F18" s="3846" t="str">
        <f>$A$165</f>
        <v>The development is within .25 miles of census tract 13-063-0405.27, which is below the 5% poverty level for Metro sites and qualifies our application for 4 points. Additionally, Employment rate is above the 60th percentile for 2021 data, qulaifying for and additional 1 point. 
Justification for Health Insurance Coverage and Median Income points. Applicant is claiming points using 2019 dataset. This year is not available in the drop downs menu's above. Please see below;
2023_qap_qa_instructions_and_responses_040523 question number 021023_02_1067719476 states;
“Regarding Scoring Section - Stable Communities, B. Local Health and Economic Indicators: Can we use the scoring data that was available on November 1, 2022, or MUST we use the data that was released on December 20, 2022?” 
Answer states; “In the case of (Scoring) Stable Communities, Applicants may use either the scoring data that was available on November 1, 2022 or the data that was released on December 20, 2022. Both of these datasets are included in the “DCA Health and Economic Indicators Table" available at the link to the right.” 
The 2018, 2019, and 2020 dataset was available on November 1, 2022. The 2021 dataset was added on December 20, 2022, while the 2018 and 2019 was removed. Since the 2019 dataset was available on November 1, 2022, points are being claimed per the DCA response stated above and 2023 QAP - Documentation and Justifications, Section B.
The site's census tract number did not change in the 2020 update.
These datasets and the site's census tract information are included in Folder 31 of this application, along with all other required minimum documentation.</v>
      </c>
      <c r="G18" s="3847"/>
      <c r="H18" s="3847"/>
      <c r="I18" s="3847"/>
      <c r="J18" s="3847"/>
      <c r="K18" s="3847"/>
      <c r="L18" s="3847"/>
      <c r="M18" s="3847"/>
      <c r="N18" s="3847"/>
      <c r="O18" s="3848"/>
      <c r="P18" s="2162"/>
      <c r="Q18" s="3913" t="str">
        <f>IF(OR($A$81="",$A$102="",$A$117="",$A$137="",$A$147="",$A$165="",$A$184="",$A$195="",$A$205="",$A$228="",$A$248="",$A$257="",$A$275="",$A$307="",$A$318="",$A$340="",$A$347="",$A$360="",$A$389=""),"Some Applicant Scoring Justification boxes are empty! Check to see if points claimed.","")</f>
        <v/>
      </c>
      <c r="R18" s="3914"/>
      <c r="S18" s="3914"/>
    </row>
    <row r="19" spans="1:35" s="2121" customFormat="1" ht="14.45" customHeight="1">
      <c r="A19" s="2151" t="s">
        <v>4040</v>
      </c>
      <c r="B19" s="2157" t="s">
        <v>3261</v>
      </c>
      <c r="C19" s="2158"/>
      <c r="D19" s="2159"/>
      <c r="E19" s="2170">
        <f>$O$179</f>
        <v>0</v>
      </c>
      <c r="F19" s="3846" t="str">
        <f>$A$184</f>
        <v>This section is NA</v>
      </c>
      <c r="G19" s="3847"/>
      <c r="H19" s="3847"/>
      <c r="I19" s="3847"/>
      <c r="J19" s="3847"/>
      <c r="K19" s="3847"/>
      <c r="L19" s="3847"/>
      <c r="M19" s="3847"/>
      <c r="N19" s="3847"/>
      <c r="O19" s="3848"/>
      <c r="P19" s="2162"/>
      <c r="Q19" s="3913"/>
      <c r="R19" s="3914"/>
      <c r="S19" s="3914"/>
    </row>
    <row r="20" spans="1:35" s="2121" customFormat="1" ht="14.45" customHeight="1">
      <c r="A20" s="2151" t="s">
        <v>4052</v>
      </c>
      <c r="B20" s="2157" t="s">
        <v>4041</v>
      </c>
      <c r="C20" s="2158"/>
      <c r="D20" s="2159"/>
      <c r="E20" s="2169">
        <f>$O$189</f>
        <v>0</v>
      </c>
      <c r="F20" s="3846" t="str">
        <f>$A$195</f>
        <v>This section is NA</v>
      </c>
      <c r="G20" s="3847"/>
      <c r="H20" s="3847"/>
      <c r="I20" s="3847"/>
      <c r="J20" s="3847"/>
      <c r="K20" s="3847"/>
      <c r="L20" s="3847"/>
      <c r="M20" s="3847"/>
      <c r="N20" s="3847"/>
      <c r="O20" s="3848"/>
      <c r="P20" s="2162"/>
      <c r="Q20" s="3913"/>
      <c r="R20" s="3914"/>
      <c r="S20" s="3914"/>
    </row>
    <row r="21" spans="1:35" s="2121" customFormat="1" ht="14.45" customHeight="1">
      <c r="A21" s="2171" t="s">
        <v>6242</v>
      </c>
      <c r="B21" s="2166" t="s">
        <v>4042</v>
      </c>
      <c r="C21" s="2167"/>
      <c r="D21" s="2168"/>
      <c r="E21" s="2172">
        <f>$O$200</f>
        <v>5</v>
      </c>
      <c r="F21" s="3910" t="str">
        <f>$A$205</f>
        <v>The project is located in the local government boundary of Clayton County, outside of any city's jurisdiction. There have been no 9% allocations in unincorporated Clayton County within the last 15 years. The DCA projects map is included in the Previous Projects folder.</v>
      </c>
      <c r="G21" s="3911"/>
      <c r="H21" s="3911"/>
      <c r="I21" s="3911"/>
      <c r="J21" s="3911"/>
      <c r="K21" s="3911"/>
      <c r="L21" s="3911"/>
      <c r="M21" s="3911"/>
      <c r="N21" s="3911"/>
      <c r="O21" s="3912"/>
      <c r="P21" s="2162"/>
      <c r="Q21" s="3913"/>
      <c r="R21" s="3914"/>
      <c r="S21" s="3914"/>
    </row>
    <row r="22" spans="1:35" s="2121" customFormat="1" ht="14.45" customHeight="1">
      <c r="A22" s="2151" t="s">
        <v>6636</v>
      </c>
      <c r="B22" s="2157" t="s">
        <v>6548</v>
      </c>
      <c r="C22" s="2158"/>
      <c r="D22" s="2159"/>
      <c r="E22" s="2170">
        <f>$O$223</f>
        <v>0</v>
      </c>
      <c r="F22" s="3846" t="str">
        <f>$A$228</f>
        <v>The project is not in the Atlanta Metro. This section is NA.</v>
      </c>
      <c r="G22" s="3847"/>
      <c r="H22" s="3847"/>
      <c r="I22" s="3847"/>
      <c r="J22" s="3847"/>
      <c r="K22" s="3847"/>
      <c r="L22" s="3847"/>
      <c r="M22" s="3847"/>
      <c r="N22" s="3847"/>
      <c r="O22" s="3848"/>
      <c r="P22" s="2162"/>
      <c r="Q22" s="3913"/>
      <c r="R22" s="3914"/>
      <c r="S22" s="3914"/>
    </row>
    <row r="23" spans="1:35" s="2121" customFormat="1" ht="14.45" customHeight="1">
      <c r="A23" s="2151" t="s">
        <v>6638</v>
      </c>
      <c r="B23" s="2157" t="s">
        <v>6637</v>
      </c>
      <c r="C23" s="2158"/>
      <c r="D23" s="2159"/>
      <c r="E23" s="2170">
        <f>$O$233</f>
        <v>2</v>
      </c>
      <c r="F23" s="3846" t="str">
        <f>$A$248</f>
        <v>Project is claiming points in QAP section XVII Minority and Women-Owner Business Engagement under sub-section A. The applicant has a policy that is shared with it's General Contracting team to advertise to potential MBE/WBE businesses, and will submit a report detailing our efforts to achieve this commitment with the Final Allocation Application.</v>
      </c>
      <c r="G23" s="3847"/>
      <c r="H23" s="3847"/>
      <c r="I23" s="3847"/>
      <c r="J23" s="3847"/>
      <c r="K23" s="3847"/>
      <c r="L23" s="3847"/>
      <c r="M23" s="3847"/>
      <c r="N23" s="3847"/>
      <c r="O23" s="3848"/>
      <c r="P23" s="2162"/>
      <c r="Q23" s="3913"/>
      <c r="R23" s="3914"/>
      <c r="S23" s="3914"/>
    </row>
    <row r="24" spans="1:35" s="2121" customFormat="1" ht="14.45" customHeight="1">
      <c r="A24" s="2164" t="s">
        <v>3368</v>
      </c>
      <c r="B24" s="2173" t="s">
        <v>6554</v>
      </c>
      <c r="C24" s="2174"/>
      <c r="D24" s="2175"/>
      <c r="E24" s="2165">
        <f>$O$253</f>
        <v>2</v>
      </c>
      <c r="F24" s="3907" t="str">
        <f>$A$257</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G24" s="3908"/>
      <c r="H24" s="3908"/>
      <c r="I24" s="3908"/>
      <c r="J24" s="3908"/>
      <c r="K24" s="3908"/>
      <c r="L24" s="3908"/>
      <c r="M24" s="3908"/>
      <c r="N24" s="3908"/>
      <c r="O24" s="3909"/>
      <c r="P24" s="2162"/>
      <c r="Q24" s="3913"/>
      <c r="R24" s="3914"/>
      <c r="S24" s="3914"/>
    </row>
    <row r="25" spans="1:35" s="2121" customFormat="1" ht="14.45" customHeight="1">
      <c r="A25" s="2151" t="s">
        <v>3372</v>
      </c>
      <c r="B25" s="2157" t="s">
        <v>3396</v>
      </c>
      <c r="C25" s="2158"/>
      <c r="D25" s="2159"/>
      <c r="E25" s="2170">
        <f>$O$271</f>
        <v>0</v>
      </c>
      <c r="F25" s="3846" t="str">
        <f>$A$275</f>
        <v>This section is NA</v>
      </c>
      <c r="G25" s="3847"/>
      <c r="H25" s="3847"/>
      <c r="I25" s="3847"/>
      <c r="J25" s="3847"/>
      <c r="K25" s="3847"/>
      <c r="L25" s="3847"/>
      <c r="M25" s="3847"/>
      <c r="N25" s="3847"/>
      <c r="O25" s="3848"/>
      <c r="P25" s="2162"/>
      <c r="Q25" s="3913"/>
      <c r="R25" s="3914"/>
      <c r="S25" s="3914"/>
    </row>
    <row r="26" spans="1:35" s="2121" customFormat="1" ht="14.45" customHeight="1">
      <c r="A26" s="2151" t="s">
        <v>3375</v>
      </c>
      <c r="B26" s="2157" t="s">
        <v>3397</v>
      </c>
      <c r="C26" s="2158"/>
      <c r="D26" s="2159"/>
      <c r="E26" s="2170">
        <f>$O$280</f>
        <v>0</v>
      </c>
      <c r="F26" s="3846" t="str">
        <f>$A$307</f>
        <v>This section is NA</v>
      </c>
      <c r="G26" s="3847"/>
      <c r="H26" s="3847"/>
      <c r="I26" s="3847"/>
      <c r="J26" s="3847"/>
      <c r="K26" s="3847"/>
      <c r="L26" s="3847"/>
      <c r="M26" s="3847"/>
      <c r="N26" s="3847"/>
      <c r="O26" s="3848"/>
      <c r="P26" s="2162"/>
      <c r="Q26" s="3913"/>
      <c r="R26" s="3914"/>
      <c r="S26" s="3914"/>
    </row>
    <row r="27" spans="1:35" s="2121" customFormat="1" ht="14.45" customHeight="1">
      <c r="A27" s="2151" t="s">
        <v>3376</v>
      </c>
      <c r="B27" s="2157" t="s">
        <v>3398</v>
      </c>
      <c r="C27" s="2158"/>
      <c r="D27" s="2159"/>
      <c r="E27" s="2169">
        <f>$O$312</f>
        <v>0</v>
      </c>
      <c r="F27" s="3846" t="str">
        <f>$A$318</f>
        <v>This section is NA</v>
      </c>
      <c r="G27" s="3847"/>
      <c r="H27" s="3847"/>
      <c r="I27" s="3847"/>
      <c r="J27" s="3847"/>
      <c r="K27" s="3847"/>
      <c r="L27" s="3847"/>
      <c r="M27" s="3847"/>
      <c r="N27" s="3847"/>
      <c r="O27" s="3848"/>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3849" t="str">
        <f>$A$340</f>
        <v>Applicant is achieving 3 points in this section per XXIV. Integrated Supportive Housing - Sections A and D. 
Kenneth Blankenship, a member of the certifying GP, maintains 811 contracts with DCA at multiple properties, totaling 39 units since 2012. Ken and his team have been willing to take 811 residents at all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G28" s="3850"/>
      <c r="H28" s="3850"/>
      <c r="I28" s="3850"/>
      <c r="J28" s="3850"/>
      <c r="K28" s="3850"/>
      <c r="L28" s="3850"/>
      <c r="M28" s="3850"/>
      <c r="N28" s="3850"/>
      <c r="O28" s="3851"/>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3846" t="str">
        <f>$A$347</f>
        <v>This section is NA</v>
      </c>
      <c r="G29" s="3847"/>
      <c r="H29" s="3847"/>
      <c r="I29" s="3847"/>
      <c r="J29" s="3847"/>
      <c r="K29" s="3847"/>
      <c r="L29" s="3847"/>
      <c r="M29" s="3847"/>
      <c r="N29" s="3847"/>
      <c r="O29" s="3848"/>
      <c r="P29" s="2162"/>
      <c r="Q29" s="2176"/>
      <c r="R29" s="2118"/>
      <c r="S29" s="2118"/>
    </row>
    <row r="30" spans="1:35" s="2121" customFormat="1" ht="14.45" customHeight="1">
      <c r="A30" s="2151" t="s">
        <v>3802</v>
      </c>
      <c r="B30" s="2157" t="s">
        <v>6552</v>
      </c>
      <c r="C30" s="2158"/>
      <c r="D30" s="2159"/>
      <c r="E30" s="2170">
        <f>$O$358</f>
        <v>0</v>
      </c>
      <c r="F30" s="3846" t="str">
        <f>$A$360</f>
        <v>This section is NA</v>
      </c>
      <c r="G30" s="3847"/>
      <c r="H30" s="3847"/>
      <c r="I30" s="3847"/>
      <c r="J30" s="3847"/>
      <c r="K30" s="3847"/>
      <c r="L30" s="3847"/>
      <c r="M30" s="3847"/>
      <c r="N30" s="3847"/>
      <c r="O30" s="3848"/>
      <c r="P30" s="2162"/>
      <c r="Q30" s="2176"/>
    </row>
    <row r="31" spans="1:35" s="2121" customFormat="1" ht="14.45" customHeight="1">
      <c r="A31" s="2151" t="s">
        <v>6555</v>
      </c>
      <c r="B31" s="2157" t="s">
        <v>6553</v>
      </c>
      <c r="C31" s="2158"/>
      <c r="D31" s="2159"/>
      <c r="E31" s="2170">
        <f>$O$365</f>
        <v>0</v>
      </c>
      <c r="F31" s="3846" t="str">
        <f>$A$369</f>
        <v>This section is NA</v>
      </c>
      <c r="G31" s="3847"/>
      <c r="H31" s="3847"/>
      <c r="I31" s="3847"/>
      <c r="J31" s="3847"/>
      <c r="K31" s="3847"/>
      <c r="L31" s="3847"/>
      <c r="M31" s="3847"/>
      <c r="N31" s="3847"/>
      <c r="O31" s="3848"/>
      <c r="P31" s="2454"/>
      <c r="Q31" s="2176"/>
    </row>
    <row r="32" spans="1:35" s="2121" customFormat="1" ht="14.45" customHeight="1">
      <c r="A32" s="2455" t="s">
        <v>6916</v>
      </c>
      <c r="B32" s="2178" t="s">
        <v>6932</v>
      </c>
      <c r="C32" s="2179"/>
      <c r="D32" s="2179"/>
      <c r="E32" s="2453">
        <f>$O$373</f>
        <v>0</v>
      </c>
      <c r="F32" s="3849">
        <f>$A$388</f>
        <v>0</v>
      </c>
      <c r="G32" s="3850"/>
      <c r="H32" s="3850"/>
      <c r="I32" s="3850"/>
      <c r="J32" s="3850"/>
      <c r="K32" s="3850"/>
      <c r="L32" s="3850"/>
      <c r="M32" s="3850"/>
      <c r="N32" s="3850"/>
      <c r="O32" s="3851"/>
      <c r="P32" s="2183"/>
      <c r="Q32" s="2118"/>
    </row>
    <row r="33" spans="1:35" ht="12.75" customHeight="1">
      <c r="Q33" s="2185"/>
    </row>
    <row r="34" spans="1:35" ht="13.5" customHeight="1">
      <c r="A34" s="3890" t="s">
        <v>6946</v>
      </c>
      <c r="B34" s="3890"/>
      <c r="C34" s="3890"/>
      <c r="D34" s="3890"/>
      <c r="E34" s="3873" t="str">
        <f>IF(OR((C36-A36&gt;0),(D36-A36&gt;0)),"Points Exceed Max!","")</f>
        <v/>
      </c>
      <c r="F34" s="4049" t="s">
        <v>6880</v>
      </c>
      <c r="G34" s="4050"/>
      <c r="H34" s="4050"/>
      <c r="I34" s="4051"/>
      <c r="J34" s="3854" t="s">
        <v>6139</v>
      </c>
      <c r="K34" s="3855"/>
      <c r="L34" s="3855"/>
      <c r="M34" s="3856"/>
      <c r="O34" s="4054" t="s">
        <v>6881</v>
      </c>
      <c r="P34" s="4054"/>
      <c r="Q34" s="2185"/>
    </row>
    <row r="35" spans="1:35" ht="13.5" customHeight="1">
      <c r="A35" s="3878" t="s">
        <v>6906</v>
      </c>
      <c r="B35" s="3879"/>
      <c r="C35" s="2460" t="s">
        <v>2889</v>
      </c>
      <c r="D35" s="2459" t="s">
        <v>245</v>
      </c>
      <c r="E35" s="3873"/>
      <c r="F35" s="4052"/>
      <c r="G35" s="3869"/>
      <c r="H35" s="3869"/>
      <c r="I35" s="4053"/>
      <c r="J35" s="3857"/>
      <c r="K35" s="3858"/>
      <c r="L35" s="3858"/>
      <c r="M35" s="3859"/>
      <c r="O35" s="4055"/>
      <c r="P35" s="4055"/>
    </row>
    <row r="36" spans="1:35" ht="10.5" customHeight="1">
      <c r="A36" s="3874">
        <v>33</v>
      </c>
      <c r="B36" s="3875"/>
      <c r="C36" s="3891">
        <f>IF($O$36="4%",O77+O86+O106+O122+O152+O179,0)</f>
        <v>0</v>
      </c>
      <c r="D36" s="3888">
        <f>IF($O$36="4%",P77+P86+P106+P122+P152+P179,0)</f>
        <v>0</v>
      </c>
      <c r="E36" s="3873"/>
      <c r="F36" s="3920" t="s">
        <v>6124</v>
      </c>
      <c r="G36" s="3921"/>
      <c r="H36" s="3921"/>
      <c r="I36" s="3922"/>
      <c r="J36" s="3860" t="s">
        <v>6100</v>
      </c>
      <c r="K36" s="3861"/>
      <c r="L36" s="3861"/>
      <c r="M36" s="3862"/>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6"/>
      <c r="B37" s="3877"/>
      <c r="C37" s="3892"/>
      <c r="D37" s="3889"/>
      <c r="E37" s="3873"/>
      <c r="F37" s="3923"/>
      <c r="G37" s="3924"/>
      <c r="H37" s="3924"/>
      <c r="I37" s="3925"/>
      <c r="J37" s="3863"/>
      <c r="K37" s="3864"/>
      <c r="L37" s="3864"/>
      <c r="M37" s="3865"/>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66" t="s">
        <v>6843</v>
      </c>
      <c r="D46" s="3867"/>
      <c r="E46" s="3867"/>
      <c r="F46" s="3867"/>
      <c r="G46" s="3867"/>
      <c r="H46" s="3867"/>
      <c r="I46" s="3867"/>
      <c r="J46" s="3867"/>
      <c r="K46" s="3867"/>
      <c r="L46" s="3867"/>
      <c r="M46" s="3867"/>
      <c r="N46" s="3867"/>
      <c r="O46" s="3867"/>
      <c r="P46" s="3868"/>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69" t="s">
        <v>6873</v>
      </c>
      <c r="B50" s="3869"/>
      <c r="C50" s="3869"/>
      <c r="D50" s="3869"/>
      <c r="E50" s="3869"/>
      <c r="F50" s="2216" t="s">
        <v>3178</v>
      </c>
      <c r="G50" s="3869" t="s">
        <v>6874</v>
      </c>
      <c r="H50" s="3869"/>
      <c r="I50" s="3869"/>
      <c r="J50" s="2216" t="s">
        <v>3178</v>
      </c>
      <c r="K50" s="3880" t="s">
        <v>6875</v>
      </c>
      <c r="L50" s="3880"/>
      <c r="M50" s="3880"/>
      <c r="N50" s="3880"/>
      <c r="O50" s="3884" t="s">
        <v>3178</v>
      </c>
      <c r="P50" s="3885"/>
      <c r="R50" s="2209"/>
      <c r="S50" s="2217"/>
    </row>
    <row r="51" spans="1:20" s="2121" customFormat="1" ht="12.75" customHeight="1">
      <c r="A51" s="3870"/>
      <c r="B51" s="3870"/>
      <c r="C51" s="3870"/>
      <c r="D51" s="3870"/>
      <c r="E51" s="3870"/>
      <c r="F51" s="2218">
        <f>SUM(F52:F63)</f>
        <v>0</v>
      </c>
      <c r="G51" s="3871"/>
      <c r="H51" s="3870"/>
      <c r="I51" s="3872"/>
      <c r="J51" s="2218">
        <f>SUM(J52:J63)</f>
        <v>0</v>
      </c>
      <c r="K51" s="3881"/>
      <c r="L51" s="3882"/>
      <c r="M51" s="3882"/>
      <c r="N51" s="3883"/>
      <c r="O51" s="3886">
        <f>SUM(O52:O63)</f>
        <v>0</v>
      </c>
      <c r="P51" s="3887"/>
      <c r="Q51" s="2209"/>
      <c r="R51" s="2217"/>
    </row>
    <row r="52" spans="1:20" s="2121" customFormat="1" ht="29.25" customHeight="1">
      <c r="A52" s="3934">
        <v>1</v>
      </c>
      <c r="B52" s="3935"/>
      <c r="C52" s="3935"/>
      <c r="D52" s="3935"/>
      <c r="E52" s="3936"/>
      <c r="F52" s="2219"/>
      <c r="G52" s="3934">
        <v>1</v>
      </c>
      <c r="H52" s="3935"/>
      <c r="I52" s="3936"/>
      <c r="J52" s="2220" t="s">
        <v>1610</v>
      </c>
      <c r="K52" s="3937">
        <v>1</v>
      </c>
      <c r="L52" s="3938"/>
      <c r="M52" s="3938"/>
      <c r="N52" s="3938"/>
      <c r="O52" s="3939" t="s">
        <v>1610</v>
      </c>
      <c r="P52" s="3940"/>
      <c r="Q52" s="2252"/>
      <c r="R52" s="2217"/>
    </row>
    <row r="53" spans="1:20" s="2121" customFormat="1" ht="29.25" customHeight="1">
      <c r="A53" s="3893">
        <v>2</v>
      </c>
      <c r="B53" s="3894"/>
      <c r="C53" s="3894"/>
      <c r="D53" s="3894"/>
      <c r="E53" s="3895"/>
      <c r="F53" s="2221"/>
      <c r="G53" s="3893">
        <v>2</v>
      </c>
      <c r="H53" s="3894"/>
      <c r="I53" s="3895"/>
      <c r="J53" s="2221"/>
      <c r="K53" s="3896">
        <v>2</v>
      </c>
      <c r="L53" s="3897"/>
      <c r="M53" s="3897"/>
      <c r="N53" s="3897"/>
      <c r="O53" s="3852"/>
      <c r="P53" s="3853"/>
      <c r="Q53" s="2209"/>
      <c r="R53" s="2217"/>
    </row>
    <row r="54" spans="1:20" s="2121" customFormat="1" ht="29.25" customHeight="1">
      <c r="A54" s="3893">
        <v>3</v>
      </c>
      <c r="B54" s="3894"/>
      <c r="C54" s="3894"/>
      <c r="D54" s="3894"/>
      <c r="E54" s="3895"/>
      <c r="F54" s="2221"/>
      <c r="G54" s="3893">
        <v>3</v>
      </c>
      <c r="H54" s="3894"/>
      <c r="I54" s="3895"/>
      <c r="J54" s="2222"/>
      <c r="K54" s="3896">
        <v>3</v>
      </c>
      <c r="L54" s="3897"/>
      <c r="M54" s="3897"/>
      <c r="N54" s="3897"/>
      <c r="O54" s="3852"/>
      <c r="P54" s="3853"/>
      <c r="Q54" s="2408"/>
      <c r="R54" s="2150"/>
      <c r="S54" s="2150"/>
      <c r="T54" s="2150"/>
    </row>
    <row r="55" spans="1:20" s="2121" customFormat="1" ht="29.25" customHeight="1">
      <c r="A55" s="3893">
        <v>4</v>
      </c>
      <c r="B55" s="3894"/>
      <c r="C55" s="3894"/>
      <c r="D55" s="3894"/>
      <c r="E55" s="3895"/>
      <c r="F55" s="2221"/>
      <c r="G55" s="3893">
        <v>4</v>
      </c>
      <c r="H55" s="3894"/>
      <c r="I55" s="3895"/>
      <c r="J55" s="2221"/>
      <c r="K55" s="3896">
        <v>4</v>
      </c>
      <c r="L55" s="3897"/>
      <c r="M55" s="3897"/>
      <c r="N55" s="3897"/>
      <c r="O55" s="3852"/>
      <c r="P55" s="3853"/>
      <c r="Q55" s="2408"/>
      <c r="R55" s="2150"/>
      <c r="S55" s="2150"/>
      <c r="T55" s="2150"/>
    </row>
    <row r="56" spans="1:20" s="2121" customFormat="1" ht="29.25" customHeight="1">
      <c r="A56" s="3893">
        <v>5</v>
      </c>
      <c r="B56" s="3894"/>
      <c r="C56" s="3894"/>
      <c r="D56" s="3894"/>
      <c r="E56" s="3895"/>
      <c r="F56" s="2221"/>
      <c r="G56" s="3893">
        <v>5</v>
      </c>
      <c r="H56" s="3894"/>
      <c r="I56" s="3895"/>
      <c r="J56" s="2222"/>
      <c r="K56" s="3896">
        <v>5</v>
      </c>
      <c r="L56" s="3897"/>
      <c r="M56" s="3897"/>
      <c r="N56" s="3897"/>
      <c r="O56" s="3852"/>
      <c r="P56" s="3853"/>
      <c r="Q56" s="2408"/>
      <c r="R56" s="2150"/>
      <c r="S56" s="2150"/>
      <c r="T56" s="2150"/>
    </row>
    <row r="57" spans="1:20" s="2121" customFormat="1" ht="29.25" customHeight="1">
      <c r="A57" s="3893">
        <v>6</v>
      </c>
      <c r="B57" s="3894"/>
      <c r="C57" s="3894"/>
      <c r="D57" s="3894"/>
      <c r="E57" s="3895"/>
      <c r="F57" s="2221"/>
      <c r="G57" s="3893">
        <v>6</v>
      </c>
      <c r="H57" s="3894"/>
      <c r="I57" s="3895"/>
      <c r="J57" s="2221"/>
      <c r="K57" s="3896">
        <v>6</v>
      </c>
      <c r="L57" s="3897"/>
      <c r="M57" s="3897"/>
      <c r="N57" s="3897"/>
      <c r="O57" s="3852"/>
      <c r="P57" s="3853"/>
      <c r="Q57" s="2408"/>
      <c r="R57" s="2150"/>
    </row>
    <row r="58" spans="1:20" s="2121" customFormat="1" ht="29.25" customHeight="1">
      <c r="A58" s="3893">
        <v>7</v>
      </c>
      <c r="B58" s="3894"/>
      <c r="C58" s="3894"/>
      <c r="D58" s="3894"/>
      <c r="E58" s="3895"/>
      <c r="F58" s="2221"/>
      <c r="G58" s="3893">
        <v>7</v>
      </c>
      <c r="H58" s="3894"/>
      <c r="I58" s="3895"/>
      <c r="J58" s="2222"/>
      <c r="K58" s="3896">
        <v>7</v>
      </c>
      <c r="L58" s="3897"/>
      <c r="M58" s="3897"/>
      <c r="N58" s="3897"/>
      <c r="O58" s="3852"/>
      <c r="P58" s="3853"/>
      <c r="Q58" s="2217"/>
      <c r="R58" s="2217"/>
    </row>
    <row r="59" spans="1:20" s="2121" customFormat="1" ht="29.25" customHeight="1">
      <c r="A59" s="3893">
        <v>8</v>
      </c>
      <c r="B59" s="3894"/>
      <c r="C59" s="3894"/>
      <c r="D59" s="3894"/>
      <c r="E59" s="3895"/>
      <c r="F59" s="2221"/>
      <c r="G59" s="3893">
        <v>8</v>
      </c>
      <c r="H59" s="3894"/>
      <c r="I59" s="3895"/>
      <c r="J59" s="2221"/>
      <c r="K59" s="3896">
        <v>8</v>
      </c>
      <c r="L59" s="3897"/>
      <c r="M59" s="3897"/>
      <c r="N59" s="3897"/>
      <c r="O59" s="3852"/>
      <c r="P59" s="3853"/>
      <c r="Q59" s="2217"/>
      <c r="R59" s="2217"/>
    </row>
    <row r="60" spans="1:20" s="2121" customFormat="1" ht="29.25" customHeight="1">
      <c r="A60" s="3893">
        <v>9</v>
      </c>
      <c r="B60" s="3894"/>
      <c r="C60" s="3894"/>
      <c r="D60" s="3894"/>
      <c r="E60" s="3895"/>
      <c r="F60" s="2221"/>
      <c r="G60" s="3893">
        <v>9</v>
      </c>
      <c r="H60" s="3894"/>
      <c r="I60" s="3895"/>
      <c r="J60" s="2222"/>
      <c r="K60" s="3896">
        <v>9</v>
      </c>
      <c r="L60" s="3897"/>
      <c r="M60" s="3897"/>
      <c r="N60" s="3897"/>
      <c r="O60" s="3852"/>
      <c r="P60" s="3853"/>
      <c r="Q60" s="2217"/>
      <c r="R60" s="2217"/>
    </row>
    <row r="61" spans="1:20" s="2121" customFormat="1" ht="29.25" customHeight="1">
      <c r="A61" s="3893">
        <v>10</v>
      </c>
      <c r="B61" s="3894"/>
      <c r="C61" s="3894"/>
      <c r="D61" s="3894"/>
      <c r="E61" s="3895"/>
      <c r="F61" s="2221"/>
      <c r="G61" s="3893">
        <v>10</v>
      </c>
      <c r="H61" s="3894"/>
      <c r="I61" s="3895"/>
      <c r="J61" s="2221"/>
      <c r="K61" s="3896">
        <v>10</v>
      </c>
      <c r="L61" s="3897"/>
      <c r="M61" s="3897"/>
      <c r="N61" s="3897"/>
      <c r="O61" s="3852"/>
      <c r="P61" s="3853"/>
      <c r="Q61" s="2217"/>
    </row>
    <row r="62" spans="1:20" s="2121" customFormat="1" ht="29.25" customHeight="1">
      <c r="A62" s="3893">
        <v>11</v>
      </c>
      <c r="B62" s="3894"/>
      <c r="C62" s="3894"/>
      <c r="D62" s="3894"/>
      <c r="E62" s="3895"/>
      <c r="F62" s="2221"/>
      <c r="G62" s="3893">
        <v>11</v>
      </c>
      <c r="H62" s="3894"/>
      <c r="I62" s="3895"/>
      <c r="J62" s="2222"/>
      <c r="K62" s="3893">
        <v>11</v>
      </c>
      <c r="L62" s="3894"/>
      <c r="M62" s="3894"/>
      <c r="N62" s="3895"/>
      <c r="O62" s="3852"/>
      <c r="P62" s="3853"/>
      <c r="Q62" s="2217"/>
      <c r="R62" s="2217"/>
    </row>
    <row r="63" spans="1:20" s="2121" customFormat="1" ht="29.25" customHeight="1">
      <c r="A63" s="3945">
        <v>12</v>
      </c>
      <c r="B63" s="3946"/>
      <c r="C63" s="3946"/>
      <c r="D63" s="3946"/>
      <c r="E63" s="3947"/>
      <c r="F63" s="2223"/>
      <c r="G63" s="3945">
        <v>12</v>
      </c>
      <c r="H63" s="3946"/>
      <c r="I63" s="3947"/>
      <c r="J63" s="2223"/>
      <c r="K63" s="3945">
        <v>12</v>
      </c>
      <c r="L63" s="3946"/>
      <c r="M63" s="3946"/>
      <c r="N63" s="3947"/>
      <c r="O63" s="3948"/>
      <c r="P63" s="3949"/>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6876</v>
      </c>
      <c r="C68" s="2255"/>
      <c r="D68" s="2255"/>
      <c r="E68" s="2255"/>
      <c r="F68" s="2255"/>
      <c r="G68" s="2120" t="s">
        <v>6645</v>
      </c>
      <c r="J68" s="2234" t="str">
        <f>'Part V-Revenues &amp; Expenses'!$O$53</f>
        <v>40% of Units at 60% of AMI</v>
      </c>
      <c r="L68" s="2255"/>
      <c r="M68" s="2124">
        <v>2</v>
      </c>
      <c r="N68" s="2214"/>
      <c r="O68" s="2236">
        <f>IF($F$36="New Supply",MIN($M68,O69+O70),0)</f>
        <v>2</v>
      </c>
      <c r="P68" s="2236">
        <f>IF($F$36="New Supply",MIN($M68,P69+P70),0)</f>
        <v>0</v>
      </c>
    </row>
    <row r="69" spans="1:19" s="2121" customFormat="1" ht="15.95" customHeight="1">
      <c r="A69" s="2138"/>
      <c r="B69" s="2331"/>
      <c r="C69" s="2237" t="s">
        <v>3812</v>
      </c>
      <c r="G69" s="2121" t="s">
        <v>3813</v>
      </c>
      <c r="I69" s="2238"/>
      <c r="J69" s="2239">
        <f>'Part V-Revenues &amp; Expenses'!$B$50</f>
        <v>57.875</v>
      </c>
      <c r="L69" s="2185"/>
      <c r="M69" s="2123">
        <v>2</v>
      </c>
      <c r="N69" s="2376"/>
      <c r="O69" s="2240"/>
      <c r="P69" s="2241"/>
      <c r="Q69" s="2242" t="str">
        <f>IF(OR($O69=$M69,$O69=0,$O69=""),"","*CHECK!*")</f>
        <v/>
      </c>
      <c r="R69" s="2304"/>
    </row>
    <row r="70" spans="1:19" s="2121" customFormat="1" ht="15.95" customHeight="1">
      <c r="A70" s="2235"/>
      <c r="B70" s="2331"/>
      <c r="C70" s="2237" t="s">
        <v>3814</v>
      </c>
      <c r="I70" s="2238"/>
      <c r="K70" s="2185"/>
      <c r="L70" s="2185"/>
      <c r="M70" s="2123">
        <v>2</v>
      </c>
      <c r="N70" s="2376"/>
      <c r="O70" s="2243">
        <v>2</v>
      </c>
      <c r="P70" s="2244"/>
      <c r="Q70" s="2242" t="str">
        <f>IF(OR($O70=$M70,$O70=0,$O70=""),"","*CHECK!*")</f>
        <v/>
      </c>
      <c r="R70" s="2304"/>
    </row>
    <row r="71" spans="1:19" ht="15.95" hidden="1" customHeight="1">
      <c r="A71" s="2210"/>
      <c r="B71" s="2211"/>
      <c r="C71" s="2212"/>
      <c r="D71" s="2157"/>
      <c r="K71" s="2213"/>
      <c r="L71" s="2213"/>
      <c r="M71" s="2123"/>
      <c r="N71" s="2214"/>
      <c r="O71" s="2134"/>
      <c r="P71" s="2134"/>
    </row>
    <row r="72" spans="1:19" ht="15.95" customHeight="1">
      <c r="A72" s="2138" t="s">
        <v>1843</v>
      </c>
      <c r="B72" s="2233" t="s">
        <v>6879</v>
      </c>
      <c r="G72" s="2186" t="s">
        <v>6844</v>
      </c>
      <c r="I72" s="2409"/>
      <c r="J72" s="2245">
        <f>IF(OR('Part V-Revenues &amp; Expenses'!$P$65="", 'Part V-Revenues &amp; Expenses'!$P$65=0),0,'Part V-Revenues &amp; Expenses'!$P$100/'Part V-Revenues &amp; Expenses'!$P$65)</f>
        <v>0</v>
      </c>
      <c r="M72" s="2124">
        <v>3</v>
      </c>
      <c r="N72" s="2309"/>
      <c r="O72" s="2307"/>
      <c r="P72" s="2308"/>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6"/>
      <c r="B74" s="3867"/>
      <c r="C74" s="3867"/>
      <c r="D74" s="3867"/>
      <c r="E74" s="3867"/>
      <c r="F74" s="3867"/>
      <c r="G74" s="3867"/>
      <c r="H74" s="3867"/>
      <c r="I74" s="3867"/>
      <c r="J74" s="3867"/>
      <c r="K74" s="3867"/>
      <c r="L74" s="3867"/>
      <c r="M74" s="3867"/>
      <c r="N74" s="3867"/>
      <c r="O74" s="3867"/>
      <c r="P74" s="3868"/>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6"/>
      <c r="O78" s="2413">
        <v>20</v>
      </c>
      <c r="P78" s="2414"/>
      <c r="Q78" s="2242"/>
      <c r="R78" s="2304"/>
    </row>
    <row r="79" spans="1:19" s="2121" customFormat="1" ht="15.95" customHeight="1">
      <c r="A79" s="2138" t="s">
        <v>1843</v>
      </c>
      <c r="B79" s="2131" t="s">
        <v>3279</v>
      </c>
      <c r="H79" s="2254"/>
      <c r="I79" s="2118"/>
      <c r="J79" s="2118"/>
      <c r="K79" s="2118"/>
      <c r="L79" s="2118"/>
      <c r="M79" s="2123" t="s">
        <v>1164</v>
      </c>
      <c r="N79" s="2254"/>
      <c r="O79" s="2413">
        <v>0</v>
      </c>
      <c r="P79" s="2414"/>
      <c r="R79" s="2304"/>
    </row>
    <row r="80" spans="1:19" ht="15.95" customHeight="1" thickBot="1">
      <c r="A80" s="2121"/>
      <c r="B80" s="2260" t="s">
        <v>3240</v>
      </c>
      <c r="C80" s="2121"/>
      <c r="D80" s="2121"/>
      <c r="E80" s="2121"/>
      <c r="F80" s="2121"/>
      <c r="G80" s="2121"/>
      <c r="H80" s="2121"/>
      <c r="I80" s="2410"/>
      <c r="J80" s="2410"/>
      <c r="K80" s="2410"/>
      <c r="L80" s="2410"/>
      <c r="M80" s="2123"/>
      <c r="O80" s="2133"/>
    </row>
    <row r="81" spans="1:21" ht="32.25" customHeight="1" thickTop="1" thickBot="1">
      <c r="A81" s="3930" t="s">
        <v>7124</v>
      </c>
      <c r="B81" s="3931"/>
      <c r="C81" s="3931"/>
      <c r="D81" s="3931"/>
      <c r="E81" s="3931"/>
      <c r="F81" s="3931"/>
      <c r="G81" s="3931"/>
      <c r="H81" s="3931"/>
      <c r="I81" s="3931"/>
      <c r="J81" s="3931"/>
      <c r="K81" s="3931"/>
      <c r="L81" s="3931"/>
      <c r="M81" s="3931"/>
      <c r="N81" s="3931"/>
      <c r="O81" s="3931"/>
      <c r="P81" s="3932"/>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6"/>
      <c r="B83" s="3867"/>
      <c r="C83" s="3867"/>
      <c r="D83" s="3867"/>
      <c r="E83" s="3867"/>
      <c r="F83" s="3867"/>
      <c r="G83" s="3867"/>
      <c r="H83" s="3867"/>
      <c r="I83" s="3867"/>
      <c r="J83" s="3867"/>
      <c r="K83" s="3867"/>
      <c r="L83" s="3867"/>
      <c r="M83" s="3867"/>
      <c r="N83" s="3867"/>
      <c r="O83" s="3867"/>
      <c r="P83" s="3868"/>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1"/>
      <c r="I86" s="2233"/>
      <c r="J86" s="2210"/>
      <c r="K86" s="2124"/>
      <c r="L86" s="2210"/>
      <c r="M86" s="2124">
        <v>6</v>
      </c>
      <c r="N86" s="2254"/>
      <c r="O86" s="2266">
        <f>IF($F$36="New Supply",MAX(O94,O97),0)</f>
        <v>4.5</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3933" t="s">
        <v>3215</v>
      </c>
      <c r="G88" s="3933"/>
      <c r="H88" s="3933"/>
      <c r="I88" s="3933"/>
      <c r="J88" s="3933" t="s">
        <v>3216</v>
      </c>
      <c r="K88" s="3933"/>
      <c r="L88" s="3933"/>
      <c r="M88" s="3933"/>
      <c r="N88" s="2254"/>
      <c r="O88" s="4093" t="s">
        <v>6845</v>
      </c>
      <c r="P88" s="4093"/>
      <c r="R88" s="2157"/>
      <c r="S88" s="2275">
        <v>0.5</v>
      </c>
      <c r="T88" s="2275">
        <v>4.5</v>
      </c>
      <c r="U88" s="2267"/>
    </row>
    <row r="89" spans="1:21" ht="15.95" customHeight="1">
      <c r="B89" s="2272"/>
      <c r="C89" s="2419" t="s">
        <v>6846</v>
      </c>
      <c r="F89" s="3941">
        <v>33.550547999999999</v>
      </c>
      <c r="G89" s="3942"/>
      <c r="H89" s="3943"/>
      <c r="I89" s="3944"/>
      <c r="J89" s="3941">
        <v>-84.420449000000005</v>
      </c>
      <c r="K89" s="3942"/>
      <c r="L89" s="3943"/>
      <c r="M89" s="3944"/>
      <c r="N89" s="2120"/>
      <c r="O89" s="4094"/>
      <c r="P89" s="4094"/>
      <c r="R89" s="2274" t="s">
        <v>6670</v>
      </c>
      <c r="S89" s="2279">
        <v>1</v>
      </c>
      <c r="T89" s="2279">
        <v>4</v>
      </c>
      <c r="U89" s="2267"/>
    </row>
    <row r="90" spans="1:21" ht="15.95" customHeight="1">
      <c r="A90" s="2272"/>
      <c r="B90" s="2158"/>
      <c r="C90" s="2419" t="s">
        <v>6847</v>
      </c>
      <c r="F90" s="3952" t="s">
        <v>7121</v>
      </c>
      <c r="G90" s="3953"/>
      <c r="H90" s="3954"/>
      <c r="I90" s="3955"/>
      <c r="J90" s="3956">
        <v>-84.414435999999995</v>
      </c>
      <c r="K90" s="3953"/>
      <c r="L90" s="3954"/>
      <c r="M90" s="3955"/>
      <c r="N90" s="2254"/>
      <c r="O90" s="3008" t="s">
        <v>7126</v>
      </c>
      <c r="P90" s="2276"/>
      <c r="R90" s="2277"/>
      <c r="S90" s="2280">
        <v>0.25</v>
      </c>
      <c r="T90" s="2280">
        <v>3</v>
      </c>
      <c r="U90" s="2267"/>
    </row>
    <row r="91" spans="1:21" ht="15.95" customHeight="1">
      <c r="A91" s="2158"/>
      <c r="B91" s="3950" t="s">
        <v>6885</v>
      </c>
      <c r="C91" s="3950"/>
      <c r="D91" s="3950"/>
      <c r="E91" s="3950"/>
      <c r="F91" s="2139" t="s">
        <v>6848</v>
      </c>
      <c r="G91" s="3926" t="s">
        <v>1672</v>
      </c>
      <c r="H91" s="3926"/>
      <c r="I91" s="3926"/>
      <c r="J91" s="3926" t="s">
        <v>6882</v>
      </c>
      <c r="K91" s="3926"/>
      <c r="L91" s="3926"/>
      <c r="M91" s="3926"/>
      <c r="N91" s="3926"/>
      <c r="O91" s="3926"/>
      <c r="P91" s="3926"/>
      <c r="R91" s="2278"/>
      <c r="S91" s="2275">
        <v>0.5</v>
      </c>
      <c r="T91" s="2275">
        <v>2</v>
      </c>
      <c r="U91" s="2267"/>
    </row>
    <row r="92" spans="1:21" ht="15.95" customHeight="1">
      <c r="A92" s="2158"/>
      <c r="B92" s="4058" t="s">
        <v>7095</v>
      </c>
      <c r="C92" s="4058"/>
      <c r="D92" s="4058"/>
      <c r="E92" s="4058"/>
      <c r="F92" s="2415">
        <v>4048485000</v>
      </c>
      <c r="G92" s="3951" t="s">
        <v>7096</v>
      </c>
      <c r="H92" s="3951"/>
      <c r="I92" s="3951"/>
      <c r="J92" s="3951" t="s">
        <v>7097</v>
      </c>
      <c r="K92" s="3951"/>
      <c r="L92" s="3951"/>
      <c r="M92" s="3951"/>
      <c r="N92" s="3951"/>
      <c r="O92" s="3951"/>
      <c r="P92" s="3951"/>
      <c r="R92" s="2274" t="s">
        <v>6671</v>
      </c>
      <c r="S92" s="2279">
        <v>1</v>
      </c>
      <c r="T92" s="2279">
        <v>1</v>
      </c>
      <c r="U92" s="2267"/>
    </row>
    <row r="93" spans="1:21" ht="15.95" hidden="1" customHeight="1">
      <c r="A93" s="2140"/>
      <c r="B93" s="2143"/>
      <c r="F93" s="2281"/>
      <c r="M93" s="2124"/>
      <c r="N93" s="2124"/>
      <c r="O93" s="2124"/>
      <c r="P93" s="2124"/>
      <c r="Q93" s="2203"/>
      <c r="R93" s="2267"/>
      <c r="S93" s="2267"/>
      <c r="T93" s="2267"/>
      <c r="U93" s="2267"/>
    </row>
    <row r="94" spans="1:21" ht="15.95" customHeight="1">
      <c r="A94" s="2282" t="s">
        <v>1841</v>
      </c>
      <c r="B94" s="2131" t="s">
        <v>3237</v>
      </c>
      <c r="F94" s="2260"/>
      <c r="M94" s="2124">
        <v>6</v>
      </c>
      <c r="N94" s="2214"/>
      <c r="O94" s="2283">
        <f>IF(OR($J$36="Atlanta Metro",$J$36="Other Metro"),MIN($M94,O95+O96),0)</f>
        <v>4.5</v>
      </c>
      <c r="P94" s="2283">
        <f>IF(OR($J$36="Atlanta Metro",$J$36="Other Metro"),MIN($M94,P95+P96),0)</f>
        <v>0</v>
      </c>
      <c r="Q94" s="2203"/>
    </row>
    <row r="95" spans="1:21" s="2157" customFormat="1" ht="32.1" customHeight="1">
      <c r="B95" s="2284" t="s">
        <v>1844</v>
      </c>
      <c r="C95" s="3847" t="s">
        <v>6877</v>
      </c>
      <c r="D95" s="3847"/>
      <c r="E95" s="3847"/>
      <c r="F95" s="3847"/>
      <c r="G95" s="3847"/>
      <c r="H95" s="3847"/>
      <c r="I95" s="3847"/>
      <c r="J95" s="3847"/>
      <c r="K95" s="3847"/>
      <c r="L95" s="3847"/>
      <c r="M95" s="2285">
        <v>6</v>
      </c>
      <c r="N95" s="2412"/>
      <c r="O95" s="2286"/>
      <c r="P95" s="2287"/>
      <c r="S95" s="2304"/>
    </row>
    <row r="96" spans="1:21" s="2157" customFormat="1" ht="15.95" customHeight="1">
      <c r="A96" s="2210" t="s">
        <v>1275</v>
      </c>
      <c r="B96" s="2284" t="s">
        <v>1846</v>
      </c>
      <c r="C96" s="2121" t="s">
        <v>6878</v>
      </c>
      <c r="D96" s="2121"/>
      <c r="E96" s="2121"/>
      <c r="F96" s="2121"/>
      <c r="G96" s="2121"/>
      <c r="H96" s="2121"/>
      <c r="I96" s="2121"/>
      <c r="J96" s="3914"/>
      <c r="K96" s="3914"/>
      <c r="L96" s="3914"/>
      <c r="M96" s="2123">
        <v>5</v>
      </c>
      <c r="N96" s="2144"/>
      <c r="O96" s="2258">
        <v>4.5</v>
      </c>
      <c r="P96" s="2259"/>
    </row>
    <row r="97" spans="1:21" s="2157" customFormat="1" ht="15.95" customHeight="1">
      <c r="A97" s="2282" t="s">
        <v>1843</v>
      </c>
      <c r="B97" s="2288" t="s">
        <v>3238</v>
      </c>
      <c r="F97" s="2416"/>
      <c r="H97" s="2255"/>
      <c r="I97" s="2255"/>
      <c r="J97" s="2289"/>
      <c r="K97" s="2289"/>
      <c r="L97" s="2290"/>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1" t="s">
        <v>1844</v>
      </c>
      <c r="C98" s="2121" t="s">
        <v>6849</v>
      </c>
      <c r="D98" s="2255"/>
      <c r="E98" s="2255"/>
      <c r="F98" s="2255"/>
      <c r="G98" s="2255"/>
      <c r="H98" s="2255"/>
      <c r="I98" s="2255"/>
      <c r="J98" s="2292"/>
      <c r="K98" s="2292"/>
      <c r="L98" s="2292"/>
      <c r="M98" s="2123">
        <v>3</v>
      </c>
      <c r="N98" s="2144"/>
      <c r="O98" s="2293"/>
      <c r="P98" s="2294"/>
      <c r="U98" s="2157"/>
    </row>
    <row r="99" spans="1:21" ht="15.95" customHeight="1">
      <c r="A99" s="2210" t="s">
        <v>1275</v>
      </c>
      <c r="B99" s="2291" t="s">
        <v>1846</v>
      </c>
      <c r="C99" s="2121" t="s">
        <v>6884</v>
      </c>
      <c r="D99" s="2255"/>
      <c r="E99" s="2255"/>
      <c r="F99" s="2255"/>
      <c r="G99" s="2255"/>
      <c r="H99" s="2255"/>
      <c r="I99" s="2255"/>
      <c r="J99" s="2289"/>
      <c r="K99" s="2289"/>
      <c r="L99" s="2289"/>
      <c r="M99" s="2123">
        <v>1</v>
      </c>
      <c r="N99" s="2144"/>
      <c r="O99" s="2295"/>
      <c r="P99" s="2296"/>
      <c r="U99" s="2157"/>
    </row>
    <row r="100" spans="1:21" s="2157" customFormat="1" ht="29.25" customHeight="1">
      <c r="A100" s="2297" t="s">
        <v>1275</v>
      </c>
      <c r="B100" s="2291" t="s">
        <v>2332</v>
      </c>
      <c r="C100" s="3847" t="s">
        <v>6883</v>
      </c>
      <c r="D100" s="3847"/>
      <c r="E100" s="3847"/>
      <c r="F100" s="3847"/>
      <c r="G100" s="3847"/>
      <c r="H100" s="3847"/>
      <c r="I100" s="3847"/>
      <c r="J100" s="3847"/>
      <c r="K100" s="3847"/>
      <c r="L100" s="3847"/>
      <c r="M100" s="2285">
        <v>2</v>
      </c>
      <c r="N100" s="2412"/>
      <c r="O100" s="2417"/>
      <c r="P100" s="2418"/>
    </row>
    <row r="101" spans="1:21" ht="15.95" customHeight="1" thickBot="1">
      <c r="A101" s="2121"/>
      <c r="B101" s="2260" t="s">
        <v>3240</v>
      </c>
      <c r="C101" s="2121"/>
      <c r="D101" s="2121"/>
      <c r="E101" s="2121"/>
      <c r="F101" s="2121"/>
      <c r="G101" s="2121"/>
      <c r="H101" s="2121"/>
      <c r="K101" s="2121"/>
      <c r="M101" s="2123"/>
      <c r="O101" s="2133"/>
    </row>
    <row r="102" spans="1:21" ht="59.45" customHeight="1" thickTop="1" thickBot="1">
      <c r="A102" s="3930" t="s">
        <v>7122</v>
      </c>
      <c r="B102" s="3931"/>
      <c r="C102" s="3931"/>
      <c r="D102" s="3931"/>
      <c r="E102" s="3931"/>
      <c r="F102" s="3931"/>
      <c r="G102" s="3931"/>
      <c r="H102" s="3931"/>
      <c r="I102" s="3931"/>
      <c r="J102" s="3931"/>
      <c r="K102" s="3931"/>
      <c r="L102" s="3931"/>
      <c r="M102" s="3931"/>
      <c r="N102" s="3931"/>
      <c r="O102" s="3931"/>
      <c r="P102" s="3932"/>
      <c r="Q102" s="2209"/>
      <c r="R102" s="2209"/>
    </row>
    <row r="103" spans="1:21" s="2121" customFormat="1" ht="15.95" customHeight="1" thickTop="1">
      <c r="B103" s="2248" t="s">
        <v>1730</v>
      </c>
      <c r="D103" s="2248"/>
      <c r="E103" s="2298"/>
      <c r="F103" s="2298"/>
      <c r="G103" s="2298"/>
      <c r="H103" s="2298"/>
      <c r="I103" s="2298"/>
      <c r="J103" s="2298"/>
      <c r="K103" s="2298"/>
      <c r="L103" s="2298"/>
      <c r="M103" s="2298"/>
      <c r="N103" s="2268"/>
      <c r="O103" s="2125"/>
      <c r="P103" s="2124"/>
      <c r="Q103" s="2120"/>
    </row>
    <row r="104" spans="1:21" ht="15.95" customHeight="1">
      <c r="A104" s="3866"/>
      <c r="B104" s="3867"/>
      <c r="C104" s="3867"/>
      <c r="D104" s="3867"/>
      <c r="E104" s="3867"/>
      <c r="F104" s="3867"/>
      <c r="G104" s="3867"/>
      <c r="H104" s="3867"/>
      <c r="I104" s="3867"/>
      <c r="J104" s="3867"/>
      <c r="K104" s="3867"/>
      <c r="L104" s="3867"/>
      <c r="M104" s="3867"/>
      <c r="N104" s="3867"/>
      <c r="O104" s="3867"/>
      <c r="P104" s="3868"/>
      <c r="Q104" s="2252"/>
    </row>
    <row r="105" spans="1:21" ht="9" customHeight="1" thickBot="1"/>
    <row r="106" spans="1:21" ht="15.95" customHeight="1" thickBot="1">
      <c r="A106" s="2142" t="s">
        <v>720</v>
      </c>
      <c r="B106" s="2143" t="s">
        <v>6148</v>
      </c>
      <c r="C106" s="2161"/>
      <c r="D106" s="2161"/>
      <c r="E106" s="2161"/>
      <c r="G106" s="2124"/>
      <c r="H106" s="2304"/>
      <c r="M106" s="2124">
        <v>3</v>
      </c>
      <c r="N106" s="2250"/>
      <c r="O106" s="2445">
        <v>3</v>
      </c>
      <c r="P106" s="2446"/>
      <c r="Q106" s="2242" t="str">
        <f>IF(OR($O106&lt;=$M106,$O106=0,$O106=""),"","*CHECK!*")</f>
        <v/>
      </c>
      <c r="R106" s="2302" t="s">
        <v>416</v>
      </c>
      <c r="S106" s="2304"/>
    </row>
    <row r="107" spans="1:21" ht="23.25" customHeight="1">
      <c r="B107" s="2433"/>
      <c r="C107" s="2433"/>
      <c r="D107" s="2433"/>
      <c r="E107" s="2432"/>
      <c r="F107" s="3964" t="s">
        <v>6908</v>
      </c>
      <c r="G107" s="3964"/>
      <c r="H107" s="3964" t="s">
        <v>6909</v>
      </c>
      <c r="I107" s="3964"/>
      <c r="J107" s="3966" t="s">
        <v>6933</v>
      </c>
      <c r="K107" s="3967"/>
      <c r="L107" s="4095" t="s">
        <v>6888</v>
      </c>
      <c r="M107" s="4095"/>
      <c r="N107" s="4095"/>
      <c r="O107" s="4096"/>
      <c r="P107" s="2303"/>
    </row>
    <row r="108" spans="1:21" ht="24.6" customHeight="1">
      <c r="B108" s="2433"/>
      <c r="C108" s="2433"/>
      <c r="D108" s="2433"/>
      <c r="E108" s="2432"/>
      <c r="F108" s="3964"/>
      <c r="G108" s="3964"/>
      <c r="H108" s="3964"/>
      <c r="I108" s="3964"/>
      <c r="J108" s="3968"/>
      <c r="K108" s="3969"/>
      <c r="L108" s="3964"/>
      <c r="M108" s="3964"/>
      <c r="N108" s="3964"/>
      <c r="O108" s="4096"/>
      <c r="P108" s="2303"/>
    </row>
    <row r="109" spans="1:21" ht="15.95" customHeight="1">
      <c r="B109" s="2434" t="s">
        <v>6629</v>
      </c>
      <c r="C109" s="2435"/>
      <c r="D109" s="2432"/>
      <c r="E109" s="2432"/>
      <c r="F109" s="3965"/>
      <c r="G109" s="3965"/>
      <c r="H109" s="3965"/>
      <c r="I109" s="3965"/>
      <c r="J109" s="3970"/>
      <c r="K109" s="3971"/>
      <c r="L109" s="3965"/>
      <c r="M109" s="3965"/>
      <c r="N109" s="3965"/>
      <c r="O109" s="4097"/>
      <c r="P109" s="2303"/>
    </row>
    <row r="110" spans="1:21" ht="15.95" customHeight="1">
      <c r="B110" s="3957" t="s">
        <v>7098</v>
      </c>
      <c r="C110" s="3958"/>
      <c r="D110" s="3958"/>
      <c r="E110" s="3959"/>
      <c r="F110" s="3960" t="s">
        <v>2652</v>
      </c>
      <c r="G110" s="3961"/>
      <c r="H110" s="3960" t="s">
        <v>2649</v>
      </c>
      <c r="I110" s="3961"/>
      <c r="J110" s="3962" t="s">
        <v>2652</v>
      </c>
      <c r="K110" s="3963"/>
      <c r="L110" s="3962" t="s">
        <v>2652</v>
      </c>
      <c r="M110" s="4092"/>
      <c r="N110" s="4092"/>
      <c r="O110" s="3963"/>
      <c r="P110" s="2257"/>
    </row>
    <row r="111" spans="1:21" ht="15.95" customHeight="1">
      <c r="B111" s="3972" t="s">
        <v>7099</v>
      </c>
      <c r="C111" s="3973"/>
      <c r="D111" s="3973"/>
      <c r="E111" s="3974"/>
      <c r="F111" s="3975" t="s">
        <v>2652</v>
      </c>
      <c r="G111" s="3976"/>
      <c r="H111" s="3975" t="s">
        <v>2649</v>
      </c>
      <c r="I111" s="3976"/>
      <c r="J111" s="3977" t="s">
        <v>2652</v>
      </c>
      <c r="K111" s="3978"/>
      <c r="L111" s="3977" t="s">
        <v>2652</v>
      </c>
      <c r="M111" s="4091"/>
      <c r="N111" s="4091"/>
      <c r="O111" s="3978"/>
      <c r="P111" s="2270"/>
    </row>
    <row r="112" spans="1:21" ht="15.95" customHeight="1">
      <c r="B112" s="3972" t="s">
        <v>7100</v>
      </c>
      <c r="C112" s="3973"/>
      <c r="D112" s="3973"/>
      <c r="E112" s="3974"/>
      <c r="F112" s="3975" t="s">
        <v>2652</v>
      </c>
      <c r="G112" s="3976"/>
      <c r="H112" s="3975" t="s">
        <v>2649</v>
      </c>
      <c r="I112" s="3976"/>
      <c r="J112" s="3977" t="s">
        <v>2652</v>
      </c>
      <c r="K112" s="3978"/>
      <c r="L112" s="3977" t="s">
        <v>2652</v>
      </c>
      <c r="M112" s="4091"/>
      <c r="N112" s="4091"/>
      <c r="O112" s="3978"/>
      <c r="P112" s="2270"/>
    </row>
    <row r="113" spans="1:21" ht="15.95" customHeight="1">
      <c r="B113" s="3972"/>
      <c r="C113" s="3973"/>
      <c r="D113" s="3973"/>
      <c r="E113" s="3974"/>
      <c r="F113" s="3975"/>
      <c r="G113" s="3976"/>
      <c r="H113" s="3975"/>
      <c r="I113" s="3976"/>
      <c r="J113" s="3977"/>
      <c r="K113" s="3978"/>
      <c r="L113" s="3977"/>
      <c r="M113" s="4091"/>
      <c r="N113" s="4091"/>
      <c r="O113" s="3978"/>
      <c r="P113" s="2270"/>
    </row>
    <row r="114" spans="1:21" ht="15.95" customHeight="1">
      <c r="B114" s="3972"/>
      <c r="C114" s="3973"/>
      <c r="D114" s="3973"/>
      <c r="E114" s="3974"/>
      <c r="F114" s="3975"/>
      <c r="G114" s="3976"/>
      <c r="H114" s="3975"/>
      <c r="I114" s="3976"/>
      <c r="J114" s="3977"/>
      <c r="K114" s="3978"/>
      <c r="L114" s="3977"/>
      <c r="M114" s="4091"/>
      <c r="N114" s="4091"/>
      <c r="O114" s="3978"/>
      <c r="P114" s="2270"/>
    </row>
    <row r="115" spans="1:21" ht="15.95" customHeight="1">
      <c r="B115" s="3979"/>
      <c r="C115" s="3980"/>
      <c r="D115" s="3980"/>
      <c r="E115" s="3981"/>
      <c r="F115" s="3982"/>
      <c r="G115" s="3983"/>
      <c r="H115" s="3982"/>
      <c r="I115" s="3983"/>
      <c r="J115" s="3984"/>
      <c r="K115" s="3985"/>
      <c r="L115" s="3984"/>
      <c r="M115" s="3986"/>
      <c r="N115" s="3986"/>
      <c r="O115" s="3985"/>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6.5" thickTop="1" thickBot="1">
      <c r="A117" s="3930" t="s">
        <v>7102</v>
      </c>
      <c r="B117" s="3931"/>
      <c r="C117" s="3931"/>
      <c r="D117" s="3931"/>
      <c r="E117" s="3931"/>
      <c r="F117" s="3931"/>
      <c r="G117" s="3931"/>
      <c r="H117" s="3931"/>
      <c r="I117" s="3931"/>
      <c r="J117" s="3931"/>
      <c r="K117" s="3931"/>
      <c r="L117" s="3931"/>
      <c r="M117" s="3931"/>
      <c r="N117" s="3931"/>
      <c r="O117" s="3931"/>
      <c r="P117" s="3932"/>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6"/>
      <c r="B119" s="3867"/>
      <c r="C119" s="3867"/>
      <c r="D119" s="3867"/>
      <c r="E119" s="3867"/>
      <c r="F119" s="3867"/>
      <c r="G119" s="3867"/>
      <c r="H119" s="3867"/>
      <c r="I119" s="3867"/>
      <c r="J119" s="3867"/>
      <c r="K119" s="3867"/>
      <c r="L119" s="3867"/>
      <c r="M119" s="3867"/>
      <c r="N119" s="3867"/>
      <c r="O119" s="3867"/>
      <c r="P119" s="3868"/>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299"/>
      <c r="D121" s="2299"/>
      <c r="E121" s="2299"/>
      <c r="F121" s="2299"/>
      <c r="G121" s="2299"/>
      <c r="H121" s="2299"/>
      <c r="I121" s="2299"/>
      <c r="J121" s="2299"/>
      <c r="K121" s="2299"/>
      <c r="L121" s="2299"/>
      <c r="M121" s="2299"/>
      <c r="N121" s="2300"/>
      <c r="O121" s="2301"/>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4"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5">
        <f>MIN(M123,O130+O132+O133+O134)</f>
        <v>0</v>
      </c>
      <c r="P123" s="2305">
        <f>P130+P132+P133+P134</f>
        <v>0</v>
      </c>
      <c r="Q123" s="2242" t="str">
        <f>IF(OR($O123&lt;=$M123,$O123=""),"","*CHECK!*")</f>
        <v/>
      </c>
      <c r="R123" s="2304"/>
      <c r="S123" s="2118"/>
      <c r="T123" s="2118"/>
      <c r="U123" s="2118"/>
    </row>
    <row r="124" spans="1:21" ht="15.95" customHeight="1">
      <c r="A124" s="2203"/>
      <c r="C124" s="2121" t="s">
        <v>6850</v>
      </c>
      <c r="D124" s="2131"/>
      <c r="E124" s="2131"/>
      <c r="F124" s="2131"/>
      <c r="G124" s="2131"/>
      <c r="H124" s="2131"/>
      <c r="I124" s="2131"/>
      <c r="J124" s="2131"/>
      <c r="K124" s="2131"/>
      <c r="L124" s="2131"/>
      <c r="Q124" s="2242" t="str">
        <f>IF(OR($O130=$M130,$O130=0,$O130=""),"","*CHECK!*")</f>
        <v/>
      </c>
      <c r="R124" s="2304"/>
      <c r="S124" s="2118"/>
      <c r="T124" s="2118"/>
      <c r="U124" s="2118"/>
    </row>
    <row r="125" spans="1:21" ht="15.95" customHeight="1">
      <c r="A125" s="2310"/>
      <c r="B125" s="2254"/>
      <c r="C125" s="2157" t="s">
        <v>6886</v>
      </c>
      <c r="D125" s="2157"/>
      <c r="E125" s="2157"/>
      <c r="F125" s="2157"/>
      <c r="G125" s="2157"/>
      <c r="H125" s="2157"/>
      <c r="I125" s="2157"/>
      <c r="J125" s="2157"/>
      <c r="K125" s="2157"/>
      <c r="L125" s="2309"/>
      <c r="M125" s="3957" t="s">
        <v>6851</v>
      </c>
      <c r="N125" s="3958"/>
      <c r="O125" s="3958"/>
      <c r="P125" s="3959"/>
      <c r="S125" s="2118"/>
      <c r="T125" s="2118"/>
      <c r="U125" s="2118"/>
    </row>
    <row r="126" spans="1:21" s="2121" customFormat="1" ht="15.95" customHeight="1">
      <c r="B126" s="2254"/>
      <c r="C126" s="2121" t="s">
        <v>6852</v>
      </c>
      <c r="L126" s="2254"/>
      <c r="M126" s="3972" t="s">
        <v>6851</v>
      </c>
      <c r="N126" s="3973"/>
      <c r="O126" s="3973"/>
      <c r="P126" s="3974"/>
      <c r="S126" s="2118"/>
      <c r="T126" s="2118"/>
      <c r="U126" s="2118"/>
    </row>
    <row r="127" spans="1:21" s="2121" customFormat="1" ht="15.95" customHeight="1">
      <c r="B127" s="2254"/>
      <c r="C127" s="2121" t="s">
        <v>6853</v>
      </c>
      <c r="L127" s="2254"/>
      <c r="M127" s="3972" t="s">
        <v>6851</v>
      </c>
      <c r="N127" s="3973"/>
      <c r="O127" s="3973"/>
      <c r="P127" s="3974"/>
      <c r="Q127" s="2311">
        <f>IF(K127="Yes",1,0)</f>
        <v>0</v>
      </c>
      <c r="S127" s="2118"/>
      <c r="T127" s="2118"/>
      <c r="U127" s="2118"/>
    </row>
    <row r="128" spans="1:21" s="2121" customFormat="1" ht="15.95" customHeight="1">
      <c r="A128" s="2254"/>
      <c r="B128" s="2254"/>
      <c r="C128" s="2121" t="s">
        <v>6854</v>
      </c>
      <c r="L128" s="2254"/>
      <c r="M128" s="3972" t="s">
        <v>6851</v>
      </c>
      <c r="N128" s="3973"/>
      <c r="O128" s="3973"/>
      <c r="P128" s="3974"/>
      <c r="Q128" s="2311">
        <f>IF(K128="Yes",1,0)</f>
        <v>0</v>
      </c>
      <c r="S128" s="2118"/>
      <c r="T128" s="2118"/>
      <c r="U128" s="2118"/>
    </row>
    <row r="129" spans="1:22" s="2121" customFormat="1" ht="15.95" customHeight="1">
      <c r="A129" s="2254"/>
      <c r="B129" s="2254"/>
      <c r="C129" s="2121" t="s">
        <v>6891</v>
      </c>
      <c r="L129" s="2254"/>
      <c r="M129" s="3979" t="s">
        <v>6851</v>
      </c>
      <c r="N129" s="3980"/>
      <c r="O129" s="3980"/>
      <c r="P129" s="3981"/>
      <c r="Q129" s="2311"/>
      <c r="S129" s="2118"/>
      <c r="T129" s="2118"/>
      <c r="U129" s="2118"/>
      <c r="V129" s="2311"/>
    </row>
    <row r="130" spans="1:22" ht="15.95" customHeight="1">
      <c r="A130" s="2310"/>
      <c r="B130" s="2306" t="s">
        <v>1844</v>
      </c>
      <c r="C130" s="2233" t="s">
        <v>6890</v>
      </c>
      <c r="D130" s="2157"/>
      <c r="E130" s="2157"/>
      <c r="F130" s="2157"/>
      <c r="G130" s="2157"/>
      <c r="H130" s="2157"/>
      <c r="I130" s="2157"/>
      <c r="K130" s="2123"/>
      <c r="L130" s="2123"/>
      <c r="M130" s="2123">
        <v>2</v>
      </c>
      <c r="N130" s="2309"/>
      <c r="O130" s="2307"/>
      <c r="P130" s="2308"/>
      <c r="R130" s="2118"/>
      <c r="S130" s="2118"/>
      <c r="T130" s="2118"/>
      <c r="U130" s="2118"/>
    </row>
    <row r="131" spans="1:22" ht="15.95" customHeight="1">
      <c r="A131" s="2310"/>
      <c r="B131" s="2312"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09"/>
      <c r="C132" s="3847" t="s">
        <v>6855</v>
      </c>
      <c r="D132" s="3847"/>
      <c r="E132" s="3847"/>
      <c r="F132" s="3847"/>
      <c r="G132" s="3847"/>
      <c r="H132" s="3847"/>
      <c r="I132" s="3847"/>
      <c r="J132" s="3847"/>
      <c r="K132" s="3847"/>
      <c r="L132" s="3847"/>
      <c r="M132" s="2285">
        <v>1</v>
      </c>
      <c r="N132" s="2309"/>
      <c r="O132" s="2313"/>
      <c r="P132" s="2314"/>
      <c r="Q132" s="2242" t="str">
        <f>IF(OR($O132=$M132,$O132=0,$O132=""),"","*CHECK!*")</f>
        <v/>
      </c>
      <c r="R132" s="2304"/>
    </row>
    <row r="133" spans="1:22" ht="30.75" customHeight="1">
      <c r="A133" s="2235"/>
      <c r="B133" s="2309"/>
      <c r="C133" s="3847" t="s">
        <v>6899</v>
      </c>
      <c r="D133" s="3847"/>
      <c r="E133" s="3847"/>
      <c r="F133" s="3847"/>
      <c r="G133" s="3847"/>
      <c r="H133" s="3847"/>
      <c r="I133" s="3847"/>
      <c r="J133" s="3847"/>
      <c r="K133" s="3847"/>
      <c r="L133" s="3847"/>
      <c r="M133" s="2285">
        <v>1</v>
      </c>
      <c r="N133" s="2309"/>
      <c r="O133" s="2315"/>
      <c r="P133" s="2316"/>
      <c r="Q133" s="2242" t="str">
        <f>IF(OR($O133=$M133,$O133=0,$O133=""),"","*CHECK!*")</f>
        <v/>
      </c>
      <c r="R133" s="2304"/>
    </row>
    <row r="134" spans="1:22" ht="15.95" customHeight="1">
      <c r="A134" s="2235"/>
      <c r="B134" s="2230"/>
      <c r="C134" s="2120" t="s">
        <v>6856</v>
      </c>
      <c r="D134" s="2288"/>
      <c r="E134" s="2288"/>
      <c r="F134" s="2288"/>
      <c r="G134" s="2288"/>
      <c r="H134" s="2288"/>
      <c r="I134" s="2288"/>
      <c r="J134" s="2288"/>
      <c r="K134" s="2288"/>
      <c r="L134" s="2288"/>
      <c r="M134" s="2123">
        <v>1</v>
      </c>
      <c r="N134" s="2254"/>
      <c r="O134" s="2243"/>
      <c r="P134" s="2244"/>
      <c r="Q134" s="2242" t="str">
        <f>IF(OR($O134=$M134,$O134=0,$O134=""),"","*CHECK!*")</f>
        <v/>
      </c>
      <c r="R134" s="2304"/>
    </row>
    <row r="135" spans="1:22" ht="15.95" customHeight="1">
      <c r="A135" s="2138" t="s">
        <v>1843</v>
      </c>
      <c r="B135" s="2131" t="s">
        <v>3821</v>
      </c>
      <c r="D135" s="2121"/>
      <c r="F135" s="2317"/>
      <c r="K135" s="2318"/>
      <c r="L135" s="2232" t="str">
        <f>IF(OR($O135=$M135,$O135=0,$O135=1,$O135=""),"","* * Check Score! * *")</f>
        <v/>
      </c>
      <c r="M135" s="2123">
        <v>2</v>
      </c>
      <c r="N135" s="2254"/>
      <c r="O135" s="2413"/>
      <c r="P135" s="2414"/>
      <c r="Q135" s="2319"/>
      <c r="R135" s="2304"/>
    </row>
    <row r="136" spans="1:22" s="2121" customFormat="1" ht="15.95" customHeight="1" thickBot="1">
      <c r="B136" s="2260" t="s">
        <v>3240</v>
      </c>
      <c r="M136" s="2123"/>
      <c r="N136" s="2123"/>
      <c r="O136" s="2133"/>
      <c r="P136" s="2124"/>
    </row>
    <row r="137" spans="1:22" ht="15.95" customHeight="1" thickTop="1" thickBot="1">
      <c r="A137" s="3930" t="s">
        <v>7091</v>
      </c>
      <c r="B137" s="3931"/>
      <c r="C137" s="3931"/>
      <c r="D137" s="3931"/>
      <c r="E137" s="3931"/>
      <c r="F137" s="3931"/>
      <c r="G137" s="3931"/>
      <c r="H137" s="3931"/>
      <c r="I137" s="3931"/>
      <c r="J137" s="3931"/>
      <c r="K137" s="3931"/>
      <c r="L137" s="3931"/>
      <c r="M137" s="3931"/>
      <c r="N137" s="3931"/>
      <c r="O137" s="3931"/>
      <c r="P137" s="3932"/>
      <c r="Q137" s="2209"/>
    </row>
    <row r="138" spans="1:22" s="2121" customFormat="1" ht="15.95" customHeight="1" thickTop="1">
      <c r="B138" s="2248" t="s">
        <v>1730</v>
      </c>
      <c r="D138" s="2248"/>
      <c r="E138" s="2298"/>
      <c r="F138" s="2298"/>
      <c r="G138" s="2298"/>
      <c r="H138" s="2298"/>
      <c r="I138" s="2298"/>
      <c r="J138" s="2298"/>
      <c r="K138" s="2298"/>
      <c r="L138" s="2298"/>
      <c r="M138" s="2298"/>
      <c r="N138" s="2268"/>
      <c r="O138" s="2125"/>
      <c r="P138" s="2124"/>
      <c r="Q138" s="2120"/>
    </row>
    <row r="139" spans="1:22" ht="15.95" customHeight="1">
      <c r="A139" s="3866"/>
      <c r="B139" s="3867"/>
      <c r="C139" s="3867"/>
      <c r="D139" s="3867"/>
      <c r="E139" s="3867"/>
      <c r="F139" s="3867"/>
      <c r="G139" s="3867"/>
      <c r="H139" s="3867"/>
      <c r="I139" s="3867"/>
      <c r="J139" s="3867"/>
      <c r="K139" s="3867"/>
      <c r="L139" s="3867"/>
      <c r="M139" s="3867"/>
      <c r="N139" s="3867"/>
      <c r="O139" s="3867"/>
      <c r="P139" s="3868"/>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299"/>
      <c r="D141" s="2299"/>
      <c r="E141" s="2299"/>
      <c r="F141" s="2299"/>
      <c r="G141" s="2299"/>
      <c r="H141" s="2299"/>
      <c r="I141" s="2299"/>
      <c r="J141" s="2299"/>
      <c r="K141" s="2299"/>
      <c r="L141" s="2299"/>
      <c r="M141" s="2299"/>
      <c r="N141" s="2300"/>
      <c r="O141" s="2301"/>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0"/>
      <c r="Q142" s="2203" t="s">
        <v>416</v>
      </c>
      <c r="R142" s="2304"/>
    </row>
    <row r="143" spans="1:22" ht="15.95" customHeight="1">
      <c r="A143" s="2142"/>
      <c r="B143" s="2141" t="s">
        <v>6252</v>
      </c>
      <c r="C143" s="2161"/>
      <c r="D143" s="2161"/>
      <c r="E143" s="2161"/>
      <c r="F143" s="2161"/>
      <c r="G143" s="2161"/>
      <c r="H143" s="2161"/>
      <c r="L143" s="2321"/>
      <c r="M143" s="2124"/>
      <c r="N143" s="2250"/>
      <c r="O143" s="2251"/>
      <c r="P143" s="2322"/>
      <c r="Q143" s="2203"/>
      <c r="R143" s="2304"/>
    </row>
    <row r="144" spans="1:22" ht="15.95" customHeight="1">
      <c r="A144" s="2142"/>
      <c r="B144" s="2121" t="s">
        <v>3673</v>
      </c>
      <c r="C144" s="2161"/>
      <c r="D144" s="2161"/>
      <c r="E144" s="2161"/>
      <c r="F144" s="2161"/>
      <c r="G144" s="2161"/>
      <c r="H144" s="2161"/>
      <c r="N144" s="2461"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87" t="s">
        <v>6898</v>
      </c>
      <c r="C145" s="3987"/>
      <c r="D145" s="3987"/>
      <c r="E145" s="3987"/>
      <c r="F145" s="3987"/>
      <c r="G145" s="3987"/>
      <c r="H145" s="3987"/>
      <c r="I145" s="3987"/>
      <c r="J145" s="3987"/>
      <c r="K145" s="3987"/>
      <c r="L145" s="3987"/>
      <c r="M145" s="3987"/>
      <c r="N145" s="2124"/>
      <c r="O145" s="2324"/>
      <c r="P145" s="2325"/>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8.75" customHeight="1" thickTop="1" thickBot="1">
      <c r="A147" s="3930" t="s">
        <v>7103</v>
      </c>
      <c r="B147" s="3931"/>
      <c r="C147" s="3931"/>
      <c r="D147" s="3931"/>
      <c r="E147" s="3931"/>
      <c r="F147" s="3931"/>
      <c r="G147" s="3931"/>
      <c r="H147" s="3931"/>
      <c r="I147" s="3931"/>
      <c r="J147" s="3931"/>
      <c r="K147" s="3931"/>
      <c r="L147" s="3931"/>
      <c r="M147" s="3931"/>
      <c r="N147" s="3931"/>
      <c r="O147" s="3931"/>
      <c r="P147" s="3932"/>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6"/>
      <c r="B149" s="3867"/>
      <c r="C149" s="3867"/>
      <c r="D149" s="3867"/>
      <c r="E149" s="3867"/>
      <c r="F149" s="3867"/>
      <c r="G149" s="3867"/>
      <c r="H149" s="3867"/>
      <c r="I149" s="3867"/>
      <c r="J149" s="3867"/>
      <c r="K149" s="3867"/>
      <c r="L149" s="3867"/>
      <c r="M149" s="3867"/>
      <c r="N149" s="3867"/>
      <c r="O149" s="3867"/>
      <c r="P149" s="3868"/>
      <c r="Q149" s="2252"/>
    </row>
    <row r="150" spans="1:27" ht="15.95" customHeight="1"/>
    <row r="151" spans="1:27" s="2262" customFormat="1" ht="15.95" customHeight="1" thickBot="1">
      <c r="N151" s="2326"/>
      <c r="O151" s="2327"/>
      <c r="P151" s="2327"/>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7</v>
      </c>
      <c r="P152" s="2202">
        <f>IF($F$36="New Supply",MIN($M$152,P153+P157),0)</f>
        <v>0</v>
      </c>
      <c r="Q152" s="2203" t="s">
        <v>416</v>
      </c>
      <c r="R152" s="2304"/>
      <c r="S152" s="2118"/>
      <c r="T152" s="2118"/>
      <c r="U152" s="2118"/>
      <c r="V152" s="2120"/>
      <c r="W152" s="2120"/>
      <c r="X152" s="2120"/>
    </row>
    <row r="153" spans="1:27" s="2121" customFormat="1" ht="15.95" customHeight="1">
      <c r="A153" s="2328" t="s">
        <v>1841</v>
      </c>
      <c r="B153" s="2131" t="s">
        <v>3822</v>
      </c>
      <c r="D153" s="2143"/>
      <c r="E153" s="2143"/>
      <c r="K153" s="2329"/>
      <c r="M153" s="2123">
        <v>5</v>
      </c>
      <c r="N153" s="2254"/>
      <c r="O153" s="2307">
        <v>4</v>
      </c>
      <c r="P153" s="2308"/>
      <c r="Q153" s="2242" t="str">
        <f>IF(O153&lt;=M153,"","*CHECK!*")</f>
        <v/>
      </c>
      <c r="R153" s="2304"/>
      <c r="S153" s="2118"/>
      <c r="T153" s="2118"/>
      <c r="U153" s="2118"/>
    </row>
    <row r="154" spans="1:27" ht="15.95" customHeight="1">
      <c r="B154" s="2328"/>
      <c r="C154" s="2121" t="s">
        <v>6254</v>
      </c>
      <c r="D154" s="2121"/>
      <c r="E154" s="2143"/>
      <c r="F154" s="2143"/>
      <c r="G154" s="2121"/>
      <c r="H154" s="2121"/>
      <c r="I154" s="2121"/>
      <c r="J154" s="3994" t="s">
        <v>7111</v>
      </c>
      <c r="K154" s="3995"/>
      <c r="L154" s="3996" t="s">
        <v>3204</v>
      </c>
      <c r="M154" s="3997"/>
      <c r="N154" s="2123"/>
      <c r="R154" s="2203"/>
      <c r="S154" s="2121"/>
    </row>
    <row r="155" spans="1:27" ht="15.95" customHeight="1">
      <c r="C155" s="2330" t="s">
        <v>6892</v>
      </c>
      <c r="J155" s="3998" t="s">
        <v>7112</v>
      </c>
      <c r="K155" s="3999"/>
      <c r="L155" s="3999"/>
      <c r="M155" s="4000"/>
      <c r="N155" s="2123"/>
      <c r="O155" s="2123"/>
      <c r="P155" s="2123"/>
      <c r="R155" s="2121"/>
      <c r="S155" s="2118"/>
    </row>
    <row r="156" spans="1:27" ht="15.95" hidden="1" customHeight="1">
      <c r="A156" s="2227"/>
      <c r="B156" s="2331"/>
      <c r="M156" s="2123"/>
      <c r="O156" s="2124"/>
      <c r="P156" s="2124"/>
      <c r="S156" s="2118"/>
      <c r="T156" s="2118"/>
      <c r="U156" s="2118"/>
    </row>
    <row r="157" spans="1:27" s="2121" customFormat="1" ht="15.95" customHeight="1">
      <c r="A157" s="2124" t="s">
        <v>1843</v>
      </c>
      <c r="B157" s="2331" t="s">
        <v>6213</v>
      </c>
      <c r="K157" s="2254"/>
      <c r="L157" s="2254"/>
      <c r="M157" s="2123">
        <v>4</v>
      </c>
      <c r="N157" s="2254"/>
      <c r="O157" s="2307">
        <v>3</v>
      </c>
      <c r="P157" s="2308"/>
      <c r="Q157" s="2242" t="str">
        <f>IF(O157&lt;=M157,"","*CHECK!*")</f>
        <v/>
      </c>
      <c r="R157" s="2304"/>
      <c r="S157" s="2118"/>
      <c r="T157" s="2118"/>
      <c r="U157" s="2118"/>
    </row>
    <row r="158" spans="1:27" ht="15.95" customHeight="1">
      <c r="C158" s="2332" t="s">
        <v>6219</v>
      </c>
      <c r="E158" s="4001" t="s">
        <v>6218</v>
      </c>
      <c r="F158" s="4001"/>
      <c r="G158" s="4001"/>
      <c r="H158" s="4001"/>
      <c r="I158" s="2139" t="s">
        <v>6893</v>
      </c>
      <c r="J158" s="4001" t="s">
        <v>6218</v>
      </c>
      <c r="K158" s="4001"/>
      <c r="L158" s="4001"/>
      <c r="M158" s="4001"/>
      <c r="N158" s="2120"/>
      <c r="O158" s="2120"/>
      <c r="P158" s="2120"/>
    </row>
    <row r="159" spans="1:27" ht="15.95" customHeight="1">
      <c r="C159" s="2121" t="s">
        <v>6217</v>
      </c>
      <c r="E159" s="3988" t="s">
        <v>7104</v>
      </c>
      <c r="F159" s="3989"/>
      <c r="G159" s="3989"/>
      <c r="H159" s="3990"/>
      <c r="I159" s="2440"/>
      <c r="J159" s="3991"/>
      <c r="K159" s="3992"/>
      <c r="L159" s="3992"/>
      <c r="M159" s="3993"/>
      <c r="N159" s="2242" t="str">
        <f>IF(P157&lt;=N157,"","*CHECK!*")</f>
        <v/>
      </c>
      <c r="Q159" s="2132"/>
      <c r="R159" s="2132"/>
      <c r="S159" s="2132"/>
      <c r="T159" s="2132"/>
      <c r="U159" s="2132"/>
      <c r="V159" s="2132"/>
      <c r="W159" s="2132"/>
      <c r="X159" s="2132"/>
      <c r="Y159" s="2132"/>
      <c r="Z159" s="2132"/>
      <c r="AA159" s="2333"/>
    </row>
    <row r="160" spans="1:27" ht="15.95" customHeight="1">
      <c r="B160" s="2227"/>
      <c r="C160" s="2121" t="s">
        <v>6214</v>
      </c>
      <c r="E160" s="3988" t="s">
        <v>7105</v>
      </c>
      <c r="F160" s="3989"/>
      <c r="G160" s="3989"/>
      <c r="H160" s="3990"/>
      <c r="I160" s="2441">
        <v>2021</v>
      </c>
      <c r="J160" s="3991"/>
      <c r="K160" s="3992"/>
      <c r="L160" s="3992"/>
      <c r="M160" s="3993"/>
      <c r="N160" s="2120"/>
      <c r="Q160" s="2132"/>
      <c r="R160" s="2132"/>
      <c r="S160" s="2132"/>
      <c r="T160" s="2132"/>
      <c r="U160" s="2132"/>
      <c r="V160" s="2132"/>
      <c r="W160" s="2132"/>
      <c r="X160" s="2132"/>
      <c r="Y160" s="2132"/>
      <c r="Z160" s="2132"/>
      <c r="AA160" s="2333"/>
    </row>
    <row r="161" spans="1:27" ht="15.95" customHeight="1">
      <c r="C161" s="2121" t="s">
        <v>6215</v>
      </c>
      <c r="E161" s="4004" t="s">
        <v>7106</v>
      </c>
      <c r="F161" s="4005"/>
      <c r="G161" s="4005"/>
      <c r="H161" s="4006"/>
      <c r="I161" s="2442"/>
      <c r="J161" s="4007"/>
      <c r="K161" s="4008"/>
      <c r="L161" s="4008"/>
      <c r="M161" s="4009"/>
      <c r="N161" s="2120"/>
      <c r="Q161" s="2132"/>
      <c r="R161" s="2132"/>
      <c r="S161" s="2132"/>
      <c r="T161" s="2132"/>
      <c r="U161" s="2132"/>
      <c r="V161" s="2132"/>
      <c r="W161" s="2132"/>
      <c r="X161" s="2132"/>
      <c r="Y161" s="2132"/>
      <c r="Z161" s="2132"/>
      <c r="AA161" s="2333"/>
    </row>
    <row r="162" spans="1:27" ht="15.95" hidden="1" customHeight="1">
      <c r="C162" s="2331"/>
      <c r="N162" s="2123"/>
      <c r="O162" s="2139"/>
      <c r="P162" s="2124"/>
      <c r="Q162" s="2124"/>
      <c r="R162" s="2124"/>
      <c r="S162" s="2124"/>
      <c r="T162" s="2124"/>
      <c r="U162" s="2124"/>
      <c r="V162" s="2124"/>
      <c r="W162" s="2124"/>
      <c r="X162" s="2124"/>
      <c r="Y162" s="2124"/>
      <c r="Z162" s="2124"/>
    </row>
    <row r="163" spans="1:27" ht="15.95" hidden="1" customHeight="1">
      <c r="A163" s="2227"/>
      <c r="B163" s="2331"/>
      <c r="M163" s="2123"/>
      <c r="O163" s="2124"/>
      <c r="P163" s="2124"/>
      <c r="S163" s="2334"/>
      <c r="T163" s="2334"/>
      <c r="U163" s="2334"/>
      <c r="V163" s="2334"/>
      <c r="W163" s="2334"/>
    </row>
    <row r="164" spans="1:27" ht="15.95" customHeight="1" thickBot="1">
      <c r="A164" s="2121"/>
      <c r="B164" s="2260" t="s">
        <v>3240</v>
      </c>
      <c r="C164" s="2121"/>
      <c r="D164" s="2121"/>
      <c r="E164" s="2121"/>
      <c r="F164" s="2121"/>
      <c r="G164" s="2121"/>
      <c r="H164" s="2121"/>
      <c r="I164" s="2121"/>
      <c r="J164" s="2121"/>
      <c r="K164" s="2121"/>
      <c r="M164" s="2123"/>
      <c r="O164" s="2133"/>
    </row>
    <row r="165" spans="1:27" ht="301.5" customHeight="1" thickTop="1" thickBot="1">
      <c r="A165" s="3930" t="s">
        <v>7127</v>
      </c>
      <c r="B165" s="3931"/>
      <c r="C165" s="3931"/>
      <c r="D165" s="3931"/>
      <c r="E165" s="3931"/>
      <c r="F165" s="3931"/>
      <c r="G165" s="3931"/>
      <c r="H165" s="3931"/>
      <c r="I165" s="3931"/>
      <c r="J165" s="3931"/>
      <c r="K165" s="3931"/>
      <c r="L165" s="3931"/>
      <c r="M165" s="3931"/>
      <c r="N165" s="3931"/>
      <c r="O165" s="3931"/>
      <c r="P165" s="3932"/>
      <c r="Q165" s="2209"/>
    </row>
    <row r="166" spans="1:27" ht="15.95" customHeight="1" thickTop="1">
      <c r="A166" s="2227"/>
      <c r="B166" s="2331"/>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6"/>
      <c r="B168" s="3867"/>
      <c r="C168" s="3867"/>
      <c r="D168" s="3867"/>
      <c r="E168" s="3867"/>
      <c r="F168" s="3867"/>
      <c r="G168" s="3867"/>
      <c r="H168" s="3867"/>
      <c r="I168" s="3867"/>
      <c r="J168" s="3867"/>
      <c r="K168" s="3867"/>
      <c r="L168" s="3867"/>
      <c r="M168" s="3867"/>
      <c r="N168" s="3867"/>
      <c r="O168" s="3867"/>
      <c r="P168" s="3868"/>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5"/>
      <c r="K170" s="2335"/>
      <c r="L170" s="2335"/>
      <c r="M170" s="2264"/>
      <c r="N170" s="2265"/>
      <c r="O170" s="2327"/>
      <c r="P170" s="2336"/>
    </row>
    <row r="171" spans="1:27" ht="15.95" customHeight="1" thickBot="1">
      <c r="A171" s="2142" t="s">
        <v>343</v>
      </c>
      <c r="B171" s="2337" t="s">
        <v>4034</v>
      </c>
      <c r="G171" s="2123" t="s">
        <v>3152</v>
      </c>
      <c r="H171" s="2338">
        <f>IF('Part V-Revenues &amp; Expenses'!$P$67=0,0,'Part V-Revenues &amp; Expenses'!$P$64/'Part V-Revenues &amp; Expenses'!$P$67)</f>
        <v>0.1111111111111111</v>
      </c>
      <c r="K171" s="4010" t="str">
        <f>'Part V-Revenues &amp; Expenses'!$O$53</f>
        <v>40% of Units at 60% of AMI</v>
      </c>
      <c r="L171" s="4011"/>
      <c r="M171" s="2124">
        <v>1</v>
      </c>
      <c r="O171" s="2202">
        <f>IF(AND($F$36="New Supply",$O$36="9%"),IF(O172+O173&gt;$M171,"Choose",MIN($M171,SUM(O172:O173))),0)</f>
        <v>1</v>
      </c>
      <c r="P171" s="2202">
        <f>IF(AND($F$36="New Supply",$O$36="9%"),IF(P172+P173&gt;$M171,"Choose",MIN($M171,SUM(P172:P173))),0)</f>
        <v>0</v>
      </c>
      <c r="Q171" s="2203" t="s">
        <v>416</v>
      </c>
      <c r="R171" s="2304" t="str">
        <f>IF(AND(O171&gt;0,NOT($F$36="New Supply")), "Ineligible to score in this section, not New Supply!","")</f>
        <v/>
      </c>
    </row>
    <row r="172" spans="1:27" ht="15.95" customHeight="1">
      <c r="A172" s="2124" t="s">
        <v>1841</v>
      </c>
      <c r="B172" s="2227" t="s">
        <v>3957</v>
      </c>
      <c r="M172" s="2123">
        <v>1</v>
      </c>
      <c r="N172" s="2254"/>
      <c r="O172" s="2313">
        <v>1</v>
      </c>
      <c r="P172" s="2314"/>
      <c r="Q172" s="2319" t="str">
        <f>IF(OR($O172=$M172,$O172=0,$O172=""),"","*CHECK!*")</f>
        <v/>
      </c>
      <c r="R172" s="2304"/>
    </row>
    <row r="173" spans="1:27" ht="15.95" customHeight="1">
      <c r="A173" s="2124" t="s">
        <v>1843</v>
      </c>
      <c r="B173" s="2227" t="s">
        <v>3812</v>
      </c>
      <c r="M173" s="2139">
        <v>1</v>
      </c>
      <c r="N173" s="2254"/>
      <c r="O173" s="2243"/>
      <c r="P173" s="2244"/>
      <c r="Q173" s="2319" t="str">
        <f>IF(OR($O173=$M173,$O173=0,$O173=""),"","*CHECK!*")</f>
        <v/>
      </c>
      <c r="R173" s="2304"/>
    </row>
    <row r="174" spans="1:27" ht="15.95" hidden="1" customHeight="1">
      <c r="A174" s="2227"/>
      <c r="B174" s="2331"/>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6"/>
      <c r="B176" s="3867"/>
      <c r="C176" s="3867"/>
      <c r="D176" s="3867"/>
      <c r="E176" s="3867"/>
      <c r="F176" s="3867"/>
      <c r="G176" s="3867"/>
      <c r="H176" s="3867"/>
      <c r="I176" s="3867"/>
      <c r="J176" s="3867"/>
      <c r="K176" s="3867"/>
      <c r="L176" s="3867"/>
      <c r="M176" s="3867"/>
      <c r="N176" s="3867"/>
      <c r="O176" s="3867"/>
      <c r="P176" s="3868"/>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5"/>
      <c r="K178" s="2335"/>
      <c r="L178" s="2335"/>
      <c r="M178" s="2264"/>
      <c r="N178" s="2265"/>
      <c r="O178" s="2327"/>
      <c r="P178" s="2336"/>
    </row>
    <row r="179" spans="1:27" s="2121" customFormat="1" ht="15.95" customHeight="1" thickBot="1">
      <c r="A179" s="2142" t="s">
        <v>344</v>
      </c>
      <c r="B179" s="2143" t="s">
        <v>3341</v>
      </c>
      <c r="D179" s="2143"/>
      <c r="E179" s="2143"/>
      <c r="G179" s="2339"/>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0" t="s">
        <v>3262</v>
      </c>
      <c r="D181" s="2184"/>
      <c r="E181" s="2184"/>
      <c r="F181" s="2184"/>
      <c r="G181" s="2184"/>
      <c r="H181" s="2184"/>
      <c r="L181" s="2184"/>
      <c r="M181" s="4002" t="str">
        <f>IF(AND(O181="Yes",O182="Yes"),"Only one category can be selected!","")</f>
        <v/>
      </c>
      <c r="N181" s="2254"/>
      <c r="O181" s="2256"/>
      <c r="P181" s="2257"/>
      <c r="Q181" s="2341"/>
      <c r="R181" s="2118"/>
      <c r="S181" s="2118"/>
      <c r="T181" s="2118"/>
      <c r="U181" s="2118"/>
      <c r="V181" s="2118"/>
    </row>
    <row r="182" spans="1:27" ht="15.95" customHeight="1">
      <c r="A182" s="2124" t="s">
        <v>1843</v>
      </c>
      <c r="B182" s="2340" t="s">
        <v>3263</v>
      </c>
      <c r="D182" s="2184"/>
      <c r="L182" s="2184"/>
      <c r="M182" s="4002"/>
      <c r="N182" s="2254"/>
      <c r="O182" s="2246"/>
      <c r="P182" s="2247"/>
      <c r="Q182" s="2341"/>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0" t="s">
        <v>7091</v>
      </c>
      <c r="B184" s="3931"/>
      <c r="C184" s="3931"/>
      <c r="D184" s="3931"/>
      <c r="E184" s="3931"/>
      <c r="F184" s="3931"/>
      <c r="G184" s="3931"/>
      <c r="H184" s="3931"/>
      <c r="I184" s="3931"/>
      <c r="J184" s="3931"/>
      <c r="K184" s="3931"/>
      <c r="L184" s="3931"/>
      <c r="M184" s="3931"/>
      <c r="N184" s="3931"/>
      <c r="O184" s="3931"/>
      <c r="P184" s="3932"/>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6"/>
      <c r="B186" s="3867"/>
      <c r="C186" s="3867"/>
      <c r="D186" s="3867"/>
      <c r="E186" s="3867"/>
      <c r="F186" s="3867"/>
      <c r="G186" s="3867"/>
      <c r="H186" s="3867"/>
      <c r="I186" s="3867"/>
      <c r="J186" s="3867"/>
      <c r="K186" s="3867"/>
      <c r="L186" s="3867"/>
      <c r="M186" s="3867"/>
      <c r="N186" s="3867"/>
      <c r="O186" s="3867"/>
      <c r="P186" s="3868"/>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5"/>
      <c r="K188" s="2335"/>
      <c r="L188" s="2335"/>
      <c r="M188" s="2264"/>
      <c r="N188" s="2265"/>
      <c r="O188" s="2327"/>
      <c r="P188" s="2336"/>
    </row>
    <row r="189" spans="1:27" ht="15.95" customHeight="1" thickBot="1">
      <c r="A189" s="2142" t="s">
        <v>1604</v>
      </c>
      <c r="B189" s="2143" t="s">
        <v>4036</v>
      </c>
      <c r="E189" s="2304" t="str">
        <f>IF(AND(O189&gt;0,NOT($F$36="New Supply"),NOT($O$36="9%")), "Ineligible, not New Supply and 9%!","")</f>
        <v/>
      </c>
      <c r="L189" s="2342" t="str">
        <f>IF(AND(O189&gt;0, NOT(O190="Yes")), "These points are only available to Phased Developments!", "")</f>
        <v/>
      </c>
      <c r="M189" s="2124">
        <v>3</v>
      </c>
      <c r="N189" s="2123"/>
      <c r="O189" s="2343"/>
      <c r="P189" s="2320"/>
      <c r="Q189" s="2203" t="s">
        <v>416</v>
      </c>
      <c r="R189" s="2304"/>
      <c r="S189" s="2118"/>
      <c r="T189" s="2118"/>
      <c r="U189" s="2118"/>
      <c r="V189" s="2118"/>
      <c r="W189" s="2344"/>
      <c r="X189" s="2344"/>
    </row>
    <row r="190" spans="1:27" ht="15.95" customHeight="1">
      <c r="A190" s="2284"/>
      <c r="B190" s="2157" t="s">
        <v>6256</v>
      </c>
      <c r="C190" s="2157"/>
      <c r="D190" s="2157"/>
      <c r="E190" s="2157"/>
      <c r="F190" s="2157"/>
      <c r="G190" s="2139" t="s">
        <v>6857</v>
      </c>
      <c r="H190" s="3890" t="s">
        <v>574</v>
      </c>
      <c r="I190" s="3890"/>
      <c r="J190" s="3890"/>
      <c r="K190" s="4003" t="s">
        <v>6929</v>
      </c>
      <c r="L190" s="4003"/>
      <c r="M190" s="4003"/>
      <c r="N190" s="2309"/>
      <c r="O190" s="2345"/>
      <c r="P190" s="2346"/>
      <c r="Q190" s="2347"/>
      <c r="R190" s="2158"/>
      <c r="S190" s="2158"/>
      <c r="T190" s="2158"/>
      <c r="W190" s="2158"/>
      <c r="X190" s="2158"/>
      <c r="Y190" s="2158"/>
      <c r="Z190" s="2158"/>
      <c r="AA190" s="2158"/>
    </row>
    <row r="191" spans="1:27" ht="15.95" customHeight="1">
      <c r="A191" s="2284"/>
      <c r="B191" s="2284"/>
      <c r="D191" s="2186" t="s">
        <v>6257</v>
      </c>
      <c r="G191" s="2348"/>
      <c r="H191" s="4017"/>
      <c r="I191" s="4018"/>
      <c r="J191" s="4019"/>
      <c r="K191" s="4013"/>
      <c r="L191" s="4013"/>
      <c r="M191" s="4013"/>
      <c r="N191" s="2309"/>
      <c r="O191" s="2349"/>
      <c r="P191" s="2350"/>
      <c r="Q191" s="2158"/>
      <c r="R191" s="2158"/>
      <c r="S191" s="2158"/>
      <c r="T191" s="2158"/>
      <c r="W191" s="2158"/>
      <c r="X191" s="2158"/>
      <c r="Y191" s="2158"/>
      <c r="Z191" s="2158"/>
      <c r="AA191" s="2158"/>
    </row>
    <row r="192" spans="1:27" s="2121" customFormat="1" ht="15.95" customHeight="1">
      <c r="A192" s="2312"/>
      <c r="B192" s="2284"/>
      <c r="D192" s="2226" t="s">
        <v>6258</v>
      </c>
      <c r="G192" s="2351"/>
      <c r="H192" s="4014"/>
      <c r="I192" s="4015"/>
      <c r="J192" s="4016"/>
      <c r="K192" s="4012"/>
      <c r="L192" s="4012"/>
      <c r="M192" s="4012"/>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930" t="s">
        <v>7091</v>
      </c>
      <c r="B195" s="3931"/>
      <c r="C195" s="3931"/>
      <c r="D195" s="3931"/>
      <c r="E195" s="3931"/>
      <c r="F195" s="3931"/>
      <c r="G195" s="3931"/>
      <c r="H195" s="3931"/>
      <c r="I195" s="3931"/>
      <c r="J195" s="3931"/>
      <c r="K195" s="3931"/>
      <c r="L195" s="3931"/>
      <c r="M195" s="3931"/>
      <c r="N195" s="3931"/>
      <c r="O195" s="3931"/>
      <c r="P195" s="3932"/>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6"/>
      <c r="B197" s="3867"/>
      <c r="C197" s="3867"/>
      <c r="D197" s="3867"/>
      <c r="E197" s="3867"/>
      <c r="F197" s="3867"/>
      <c r="G197" s="3867"/>
      <c r="H197" s="3867"/>
      <c r="I197" s="3867"/>
      <c r="J197" s="3867"/>
      <c r="K197" s="3867"/>
      <c r="L197" s="3867"/>
      <c r="M197" s="3867"/>
      <c r="N197" s="3867"/>
      <c r="O197" s="3867"/>
      <c r="P197" s="3868"/>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5"/>
      <c r="K199" s="2335"/>
      <c r="L199" s="2335"/>
      <c r="M199" s="2264"/>
      <c r="N199" s="2265"/>
      <c r="O199" s="2327"/>
      <c r="P199" s="2336"/>
    </row>
    <row r="200" spans="1:24" ht="15.95" customHeight="1" thickBot="1">
      <c r="A200" s="2142" t="s">
        <v>2495</v>
      </c>
      <c r="B200" s="2143" t="s">
        <v>3960</v>
      </c>
      <c r="G200" s="2281"/>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4"/>
      <c r="S200" s="2118"/>
      <c r="T200" s="2118"/>
      <c r="U200" s="2118"/>
      <c r="V200" s="2118"/>
      <c r="W200" s="2344"/>
      <c r="X200" s="2344"/>
    </row>
    <row r="201" spans="1:24" s="2121" customFormat="1" ht="15.95" customHeight="1">
      <c r="A201" s="2138" t="s">
        <v>1841</v>
      </c>
      <c r="B201" s="2131" t="s">
        <v>6937</v>
      </c>
      <c r="M201" s="2123">
        <v>5</v>
      </c>
      <c r="N201" s="2254"/>
      <c r="O201" s="2352">
        <v>5</v>
      </c>
      <c r="P201" s="2353"/>
      <c r="Q201" s="2319" t="str">
        <f>IF(OR($O201=$M201,$O201=$M201-1,$O201=0,$O201=""),"","*CHECK!*")</f>
        <v/>
      </c>
      <c r="R201" s="2304"/>
      <c r="S201" s="2118"/>
      <c r="T201" s="2118"/>
      <c r="U201" s="2118"/>
      <c r="V201" s="2118"/>
    </row>
    <row r="202" spans="1:24" s="2121" customFormat="1" ht="15.95" customHeight="1">
      <c r="A202" s="2138" t="s">
        <v>1843</v>
      </c>
      <c r="B202" s="2131" t="s">
        <v>6935</v>
      </c>
      <c r="M202" s="2123">
        <v>3</v>
      </c>
      <c r="N202" s="2254"/>
      <c r="O202" s="2240"/>
      <c r="P202" s="2241"/>
      <c r="Q202" s="2319" t="str">
        <f>IF(OR($O202=$M202,$O202=$M202-1,$O202=0,$O202=""),"","*CHECK!*")</f>
        <v/>
      </c>
      <c r="R202" s="2304"/>
    </row>
    <row r="203" spans="1:24" ht="15.95" customHeight="1">
      <c r="A203" s="2138" t="s">
        <v>698</v>
      </c>
      <c r="B203" s="2131" t="s">
        <v>6936</v>
      </c>
      <c r="G203" s="2226" t="s">
        <v>6229</v>
      </c>
      <c r="I203" s="2281"/>
      <c r="L203" s="2118"/>
      <c r="M203" s="2123">
        <v>3</v>
      </c>
      <c r="N203" s="2254"/>
      <c r="O203" s="2243"/>
      <c r="P203" s="2244"/>
      <c r="Q203" s="2319" t="str">
        <f>IF(OR($O203=$M203,$O203=$M203-1,$O203=0,$O203=""),"","*CHECK!*")</f>
        <v/>
      </c>
      <c r="R203" s="2304"/>
    </row>
    <row r="204" spans="1:24" ht="15.95" customHeight="1" thickBot="1">
      <c r="A204" s="2121"/>
      <c r="B204" s="2260" t="s">
        <v>3240</v>
      </c>
      <c r="C204" s="2121"/>
      <c r="D204" s="2121"/>
      <c r="E204" s="2121"/>
      <c r="F204" s="2121"/>
      <c r="G204" s="2121"/>
      <c r="H204" s="2121"/>
      <c r="I204" s="2121"/>
      <c r="J204" s="2121"/>
      <c r="K204" s="2121"/>
      <c r="M204" s="2123"/>
      <c r="O204" s="2133"/>
    </row>
    <row r="205" spans="1:24" ht="32.25" customHeight="1" thickTop="1" thickBot="1">
      <c r="A205" s="3930" t="s">
        <v>7107</v>
      </c>
      <c r="B205" s="3931"/>
      <c r="C205" s="3931"/>
      <c r="D205" s="3931"/>
      <c r="E205" s="3931"/>
      <c r="F205" s="3931"/>
      <c r="G205" s="3931"/>
      <c r="H205" s="3931"/>
      <c r="I205" s="3931"/>
      <c r="J205" s="3931"/>
      <c r="K205" s="3931"/>
      <c r="L205" s="3931"/>
      <c r="M205" s="3931"/>
      <c r="N205" s="3931"/>
      <c r="O205" s="3931"/>
      <c r="P205" s="3932"/>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6"/>
      <c r="B207" s="3867"/>
      <c r="C207" s="3867"/>
      <c r="D207" s="3867"/>
      <c r="E207" s="3867"/>
      <c r="F207" s="3867"/>
      <c r="G207" s="3867"/>
      <c r="H207" s="3867"/>
      <c r="I207" s="3867"/>
      <c r="J207" s="3867"/>
      <c r="K207" s="3867"/>
      <c r="L207" s="3867"/>
      <c r="M207" s="3867"/>
      <c r="N207" s="3867"/>
      <c r="O207" s="3867"/>
      <c r="P207" s="3868"/>
      <c r="Q207" s="2252"/>
    </row>
    <row r="208" spans="1:24" ht="10.5" customHeight="1">
      <c r="T208" s="2354"/>
      <c r="U208" s="2354"/>
    </row>
    <row r="209" spans="1:22" s="2262" customFormat="1" ht="9.75" customHeight="1" thickBot="1">
      <c r="N209" s="2326"/>
      <c r="O209" s="2327"/>
      <c r="P209" s="2327"/>
      <c r="T209" s="2355"/>
      <c r="U209" s="2355"/>
    </row>
    <row r="210" spans="1:22" ht="15.95" customHeight="1" thickBot="1">
      <c r="A210" s="2337"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4"/>
      <c r="U210" s="2354"/>
    </row>
    <row r="211" spans="1:22" s="2121" customFormat="1" ht="15.95" customHeight="1">
      <c r="A211" s="2138" t="s">
        <v>1841</v>
      </c>
      <c r="B211" s="2131" t="s">
        <v>2065</v>
      </c>
      <c r="D211" s="2281"/>
      <c r="E211" s="2281"/>
      <c r="G211" s="2120"/>
      <c r="L211" s="2232"/>
      <c r="M211" s="2123">
        <v>3</v>
      </c>
      <c r="N211" s="2254"/>
      <c r="O211" s="2356">
        <f>IF(OR(AND(O212="Yes",O213="Yes",O214="Yes"),AND(O212="Yes",O214="Yes"),AND(O213="Yes",O214="Yes"),AND(O212="Yes",O213="Yes")),"choose",IF(O212="Yes",$M$212,IF(O213="Yes",$M$213, IF(O214="Yes",$M$214,0))))</f>
        <v>3</v>
      </c>
      <c r="P211" s="2356">
        <f>IF(OR(AND(P212="Yes",P213="Yes",P214="Yes"),AND(P212="Yes",P214="Yes"),AND(P213="Yes",P214="Yes"),AND(P212="Yes",P213="Yes")),"choose",IF(P212="Yes",$M$212,IF(P213="Yes",$M$213, IF(P214="Yes",$M$214,0))))</f>
        <v>0</v>
      </c>
      <c r="Q211" s="2319"/>
      <c r="R211" s="2304"/>
      <c r="T211" s="2354"/>
      <c r="U211" s="2354"/>
    </row>
    <row r="212" spans="1:22" s="2121" customFormat="1" ht="15.95" customHeight="1">
      <c r="A212" s="2138"/>
      <c r="B212" s="2312" t="s">
        <v>1844</v>
      </c>
      <c r="C212" s="2226" t="s">
        <v>6612</v>
      </c>
      <c r="D212" s="2281"/>
      <c r="E212" s="2281"/>
      <c r="G212" s="2120"/>
      <c r="L212" s="2232"/>
      <c r="M212" s="2123">
        <v>3</v>
      </c>
      <c r="N212" s="2376"/>
      <c r="O212" s="2256" t="s">
        <v>2649</v>
      </c>
      <c r="P212" s="2257"/>
      <c r="Q212" s="2319"/>
      <c r="R212" s="2304"/>
      <c r="T212" s="2354"/>
      <c r="U212" s="2354"/>
    </row>
    <row r="213" spans="1:22" s="2121" customFormat="1" ht="15.95" customHeight="1">
      <c r="A213" s="2138"/>
      <c r="B213" s="2284" t="s">
        <v>1846</v>
      </c>
      <c r="C213" s="2226" t="s">
        <v>6613</v>
      </c>
      <c r="D213" s="2281"/>
      <c r="E213" s="2281"/>
      <c r="G213" s="2120"/>
      <c r="L213" s="2232"/>
      <c r="M213" s="2123">
        <v>2</v>
      </c>
      <c r="N213" s="2376"/>
      <c r="O213" s="2269" t="s">
        <v>7101</v>
      </c>
      <c r="P213" s="2270"/>
      <c r="Q213" s="2319"/>
      <c r="R213" s="2304"/>
      <c r="T213" s="2354"/>
      <c r="U213" s="2354"/>
    </row>
    <row r="214" spans="1:22" s="2121" customFormat="1" ht="15.95" customHeight="1">
      <c r="A214" s="2138"/>
      <c r="B214" s="2284" t="s">
        <v>2332</v>
      </c>
      <c r="C214" s="2226" t="s">
        <v>6614</v>
      </c>
      <c r="D214" s="2281"/>
      <c r="E214" s="2281"/>
      <c r="G214" s="2120"/>
      <c r="K214" s="2254"/>
      <c r="M214" s="2123">
        <v>1</v>
      </c>
      <c r="N214" s="2376"/>
      <c r="O214" s="2246" t="s">
        <v>7101</v>
      </c>
      <c r="P214" s="2247"/>
      <c r="R214" s="2120"/>
      <c r="T214" s="2354"/>
      <c r="U214" s="2354"/>
    </row>
    <row r="215" spans="1:22" ht="15.95" customHeight="1">
      <c r="A215" s="2138" t="s">
        <v>1843</v>
      </c>
      <c r="B215" s="2131" t="s">
        <v>3952</v>
      </c>
      <c r="D215" s="2121"/>
      <c r="K215" s="2121"/>
      <c r="L215" s="2232" t="str">
        <f>IF(OR($O215=$M215,$O215=0,$O215=""),"","* * Check Score! * *")</f>
        <v/>
      </c>
      <c r="M215" s="2123">
        <v>1</v>
      </c>
      <c r="N215" s="2254"/>
      <c r="O215" s="2305">
        <f>IF(O216="Yes",$M$215,0)</f>
        <v>0</v>
      </c>
      <c r="P215" s="2305">
        <f>IF(P216="Yes",$M$215,0)</f>
        <v>0</v>
      </c>
      <c r="Q215" s="2319" t="str">
        <f>IF(OR($O215=$M215,$O215=0,$O215=""),"","*CHECK!*")</f>
        <v/>
      </c>
      <c r="R215" s="2304"/>
      <c r="T215" s="2354"/>
      <c r="U215" s="2354"/>
    </row>
    <row r="216" spans="1:22" ht="15.75" customHeight="1">
      <c r="A216" s="2337"/>
      <c r="B216" s="3987" t="s">
        <v>6894</v>
      </c>
      <c r="C216" s="3987"/>
      <c r="D216" s="3987"/>
      <c r="E216" s="3987"/>
      <c r="F216" s="3987"/>
      <c r="G216" s="3987"/>
      <c r="H216" s="3987"/>
      <c r="I216" s="3987"/>
      <c r="J216" s="3987"/>
      <c r="K216" s="3987"/>
      <c r="L216" s="3987"/>
      <c r="M216" s="2123"/>
      <c r="N216" s="2254"/>
      <c r="O216" s="2357" t="s">
        <v>7101</v>
      </c>
      <c r="P216" s="2358"/>
      <c r="R216" s="2232"/>
      <c r="T216" s="2354"/>
      <c r="U216" s="2354"/>
    </row>
    <row r="217" spans="1:22" ht="15.95" customHeight="1">
      <c r="A217" s="2138" t="s">
        <v>698</v>
      </c>
      <c r="B217" s="2131" t="s">
        <v>3824</v>
      </c>
      <c r="D217" s="2121"/>
      <c r="H217" s="2121"/>
      <c r="K217" s="2121"/>
      <c r="L217" s="2232"/>
      <c r="M217" s="2123">
        <v>1</v>
      </c>
      <c r="N217" s="2254"/>
      <c r="O217" s="2305">
        <f>IF(O211=0,0,IF(O218="Yes",$M$217,0))</f>
        <v>1</v>
      </c>
      <c r="P217" s="2305">
        <f>IF(P211=0,0,IF(P218="Yes",$M$217,0))</f>
        <v>0</v>
      </c>
      <c r="Q217" s="2319" t="str">
        <f>IF(OR($O217=$M217,$O217=0,$O217=""),"","*CHECK!*")</f>
        <v/>
      </c>
      <c r="R217" s="2304"/>
      <c r="T217" s="2354"/>
      <c r="U217" s="2354"/>
    </row>
    <row r="218" spans="1:22" ht="45.75" customHeight="1">
      <c r="B218" s="3847" t="s">
        <v>6938</v>
      </c>
      <c r="C218" s="3847"/>
      <c r="D218" s="3847"/>
      <c r="E218" s="3847"/>
      <c r="F218" s="3847"/>
      <c r="G218" s="3847"/>
      <c r="H218" s="3847"/>
      <c r="I218" s="3847"/>
      <c r="J218" s="3847"/>
      <c r="K218" s="3847"/>
      <c r="L218" s="3847"/>
      <c r="M218" s="2123"/>
      <c r="N218" s="2254"/>
      <c r="O218" s="2324" t="s">
        <v>2649</v>
      </c>
      <c r="P218" s="2325"/>
      <c r="R218" s="2232"/>
      <c r="T218" s="2354"/>
      <c r="U218" s="2354"/>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6"/>
      <c r="B220" s="3867"/>
      <c r="C220" s="3867"/>
      <c r="D220" s="3867"/>
      <c r="E220" s="3867"/>
      <c r="F220" s="3867"/>
      <c r="G220" s="3867"/>
      <c r="H220" s="3867"/>
      <c r="I220" s="3867"/>
      <c r="J220" s="3867"/>
      <c r="K220" s="3867"/>
      <c r="L220" s="3867"/>
      <c r="M220" s="3867"/>
      <c r="N220" s="3867"/>
      <c r="O220" s="3867"/>
      <c r="P220" s="3868"/>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5"/>
      <c r="K222" s="2335"/>
      <c r="L222" s="2335"/>
      <c r="M222" s="2264"/>
      <c r="N222" s="2265"/>
      <c r="O222" s="2327"/>
      <c r="P222" s="2327"/>
    </row>
    <row r="223" spans="1:22" s="2121" customFormat="1" ht="15.95" customHeight="1" thickBot="1">
      <c r="A223" s="2142" t="s">
        <v>3369</v>
      </c>
      <c r="B223" s="2143" t="s">
        <v>6572</v>
      </c>
      <c r="D223" s="2143"/>
      <c r="E223" s="2143"/>
      <c r="G223" s="2339"/>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3"/>
      <c r="P224" s="2368"/>
      <c r="Q224" s="2341">
        <f>IF(L224="Yes",1,0)</f>
        <v>0</v>
      </c>
      <c r="R224" s="2118"/>
      <c r="S224" s="2118"/>
      <c r="T224" s="2118"/>
      <c r="U224" s="2118"/>
      <c r="V224" s="2118"/>
    </row>
    <row r="225" spans="1:24" ht="15.75" customHeight="1">
      <c r="B225" s="4027" t="s">
        <v>6895</v>
      </c>
      <c r="C225" s="4027"/>
      <c r="D225" s="4027"/>
      <c r="E225" s="4027"/>
      <c r="F225" s="4027"/>
      <c r="G225" s="4027"/>
      <c r="H225" s="4027"/>
      <c r="I225" s="4027"/>
      <c r="J225" s="4027"/>
      <c r="K225" s="4027"/>
      <c r="L225" s="4027"/>
      <c r="M225" s="2139"/>
      <c r="O225" s="2139"/>
      <c r="P225" s="2139"/>
      <c r="Q225" s="2341"/>
      <c r="R225" s="2118"/>
      <c r="S225" s="2118"/>
      <c r="T225" s="2118"/>
      <c r="U225" s="2118"/>
      <c r="V225" s="2118"/>
    </row>
    <row r="226" spans="1:24" ht="15.95" customHeight="1">
      <c r="B226" s="4028"/>
      <c r="C226" s="4029"/>
      <c r="D226" s="4029"/>
      <c r="E226" s="4029"/>
      <c r="F226" s="4029"/>
      <c r="G226" s="4029"/>
      <c r="H226" s="4029"/>
      <c r="I226" s="4029"/>
      <c r="J226" s="4029"/>
      <c r="K226" s="4029"/>
      <c r="L226" s="4029"/>
      <c r="M226" s="4029"/>
      <c r="N226" s="4029"/>
      <c r="O226" s="4029"/>
      <c r="P226" s="4030"/>
      <c r="Q226" s="2341"/>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0" t="s">
        <v>7109</v>
      </c>
      <c r="B228" s="3931"/>
      <c r="C228" s="3931"/>
      <c r="D228" s="3931"/>
      <c r="E228" s="3931"/>
      <c r="F228" s="3931"/>
      <c r="G228" s="3931"/>
      <c r="H228" s="3931"/>
      <c r="I228" s="3931"/>
      <c r="J228" s="3931"/>
      <c r="K228" s="3931"/>
      <c r="L228" s="3931"/>
      <c r="M228" s="3931"/>
      <c r="N228" s="3931"/>
      <c r="O228" s="3931"/>
      <c r="P228" s="3932"/>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6"/>
      <c r="B230" s="3867"/>
      <c r="C230" s="3867"/>
      <c r="D230" s="3867"/>
      <c r="E230" s="3867"/>
      <c r="F230" s="3867"/>
      <c r="G230" s="3867"/>
      <c r="H230" s="3867"/>
      <c r="I230" s="3867"/>
      <c r="J230" s="3867"/>
      <c r="K230" s="3867"/>
      <c r="L230" s="3867"/>
      <c r="M230" s="3867"/>
      <c r="N230" s="3867"/>
      <c r="O230" s="3867"/>
      <c r="P230" s="3868"/>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5"/>
      <c r="K232" s="2335"/>
      <c r="L232" s="2335"/>
      <c r="M232" s="2264"/>
      <c r="N232" s="2265"/>
      <c r="O232" s="2327"/>
      <c r="P232" s="2336"/>
    </row>
    <row r="233" spans="1:24" s="2121" customFormat="1" ht="15.95" customHeight="1" thickBot="1">
      <c r="A233" s="2142" t="s">
        <v>3370</v>
      </c>
      <c r="B233" s="2143" t="s">
        <v>6577</v>
      </c>
      <c r="D233" s="2143"/>
      <c r="E233" s="2143"/>
      <c r="G233" s="2339"/>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0"/>
      <c r="M234" s="2210"/>
      <c r="O234" s="4042" t="s">
        <v>6897</v>
      </c>
      <c r="P234" s="4042" t="s">
        <v>3150</v>
      </c>
      <c r="Q234" s="2203"/>
      <c r="R234" s="2118"/>
      <c r="S234" s="2118"/>
      <c r="T234" s="2118"/>
      <c r="U234" s="2118"/>
      <c r="V234" s="2118"/>
      <c r="W234" s="2120"/>
      <c r="X234" s="2120"/>
    </row>
    <row r="235" spans="1:24" s="2121" customFormat="1" ht="15.95" customHeight="1">
      <c r="A235" s="2142"/>
      <c r="C235" s="2121" t="s">
        <v>6692</v>
      </c>
      <c r="I235" s="4031"/>
      <c r="J235" s="4032"/>
      <c r="K235" s="4033"/>
      <c r="L235" s="4034"/>
      <c r="M235" s="2210"/>
      <c r="O235" s="3964"/>
      <c r="P235" s="3964"/>
      <c r="Q235" s="2203"/>
      <c r="R235" s="2118"/>
      <c r="S235" s="2118"/>
      <c r="T235" s="2118"/>
      <c r="U235" s="2118"/>
      <c r="V235" s="2118"/>
      <c r="W235" s="2120"/>
      <c r="X235" s="2120"/>
    </row>
    <row r="236" spans="1:24" s="2121" customFormat="1" ht="15.95" customHeight="1">
      <c r="A236" s="2142"/>
      <c r="C236" s="2121" t="s">
        <v>6691</v>
      </c>
      <c r="I236" s="4035"/>
      <c r="J236" s="4036"/>
      <c r="M236" s="2210"/>
      <c r="O236" s="3964"/>
      <c r="P236" s="3964"/>
      <c r="Q236" s="2203"/>
      <c r="R236" s="2118"/>
      <c r="S236" s="2118"/>
      <c r="T236" s="2118"/>
      <c r="U236" s="2118"/>
      <c r="V236" s="2118"/>
      <c r="W236" s="2120"/>
      <c r="X236" s="2120"/>
    </row>
    <row r="237" spans="1:24" s="2121" customFormat="1" ht="15.95" customHeight="1">
      <c r="A237" s="2142"/>
      <c r="C237" s="2121" t="s">
        <v>6693</v>
      </c>
      <c r="I237" s="4040" t="s">
        <v>6694</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1"/>
      <c r="B239" s="2254"/>
      <c r="C239" s="3987" t="s">
        <v>6859</v>
      </c>
      <c r="D239" s="3987"/>
      <c r="E239" s="3987"/>
      <c r="F239" s="3987"/>
      <c r="G239" s="3987"/>
      <c r="H239" s="3987"/>
      <c r="I239" s="3987"/>
      <c r="J239" s="3987"/>
      <c r="K239" s="3987"/>
      <c r="L239" s="3987"/>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0" t="s">
        <v>6578</v>
      </c>
      <c r="D241" s="2184"/>
      <c r="E241" s="2184"/>
      <c r="G241" s="2184" t="s">
        <v>6586</v>
      </c>
      <c r="H241" s="2184"/>
      <c r="L241" s="2184"/>
      <c r="M241" s="2139">
        <v>2</v>
      </c>
      <c r="N241" s="2254"/>
      <c r="O241" s="2362">
        <v>2</v>
      </c>
      <c r="P241" s="2320"/>
      <c r="Q241" s="2363" t="str">
        <f>IF(OR(O241=0,O241="",O241=$M241),"","Check!")</f>
        <v/>
      </c>
      <c r="R241" s="2304"/>
      <c r="S241" s="2118"/>
      <c r="T241" s="2118"/>
      <c r="U241" s="2118"/>
      <c r="V241" s="2118"/>
    </row>
    <row r="242" spans="1:22" s="2157" customFormat="1" ht="29.25" customHeight="1">
      <c r="A242" s="2364"/>
      <c r="B242" s="2284"/>
      <c r="C242" s="3847" t="s">
        <v>6587</v>
      </c>
      <c r="D242" s="3847"/>
      <c r="E242" s="3847"/>
      <c r="F242" s="3847"/>
      <c r="G242" s="3847"/>
      <c r="H242" s="3847"/>
      <c r="I242" s="3847"/>
      <c r="J242" s="3847"/>
      <c r="K242" s="3847"/>
      <c r="L242" s="3847"/>
      <c r="M242" s="3847"/>
      <c r="N242" s="2376"/>
      <c r="O242" s="2256" t="s">
        <v>2649</v>
      </c>
      <c r="P242" s="2257"/>
      <c r="Q242" s="2365"/>
      <c r="R242" s="2366"/>
      <c r="S242" s="2366"/>
      <c r="T242" s="2366"/>
      <c r="U242" s="2366"/>
    </row>
    <row r="243" spans="1:22" s="2157" customFormat="1" ht="29.25" customHeight="1" thickBot="1">
      <c r="A243" s="2364"/>
      <c r="B243" s="2284"/>
      <c r="C243" s="3847" t="s">
        <v>6860</v>
      </c>
      <c r="D243" s="3847"/>
      <c r="E243" s="3847"/>
      <c r="F243" s="3847"/>
      <c r="G243" s="3847"/>
      <c r="H243" s="3847"/>
      <c r="I243" s="3847"/>
      <c r="J243" s="3847"/>
      <c r="K243" s="3847"/>
      <c r="L243" s="3847"/>
      <c r="M243" s="3847"/>
      <c r="N243" s="2376"/>
      <c r="O243" s="2324" t="s">
        <v>2649</v>
      </c>
      <c r="P243" s="2325"/>
      <c r="Q243" s="2365"/>
      <c r="R243" s="2366"/>
      <c r="S243" s="2366"/>
      <c r="T243" s="2366"/>
      <c r="U243" s="2366"/>
    </row>
    <row r="244" spans="1:22" ht="15.95" customHeight="1" thickBot="1">
      <c r="A244" s="2124" t="s">
        <v>1843</v>
      </c>
      <c r="B244" s="2340" t="s">
        <v>6579</v>
      </c>
      <c r="D244" s="2184"/>
      <c r="L244" s="2184"/>
      <c r="M244" s="2139">
        <v>2</v>
      </c>
      <c r="N244" s="2254"/>
      <c r="O244" s="2362"/>
      <c r="P244" s="2320"/>
      <c r="Q244" s="2363" t="str">
        <f>IF(OR(O244=0,O244="",O244=$M244),"","Check!")</f>
        <v/>
      </c>
      <c r="R244" s="2304"/>
      <c r="S244" s="2118"/>
      <c r="T244" s="2118"/>
      <c r="U244" s="2118"/>
      <c r="V244" s="2118"/>
    </row>
    <row r="245" spans="1:22" ht="15.95" customHeight="1">
      <c r="A245" s="2124"/>
      <c r="B245" s="2340"/>
      <c r="C245" s="2121" t="s">
        <v>6861</v>
      </c>
      <c r="D245" s="2184"/>
      <c r="L245" s="2184"/>
      <c r="M245" s="2139"/>
      <c r="N245" s="2254"/>
      <c r="O245" s="2256"/>
      <c r="P245" s="2257"/>
      <c r="Q245" s="2363"/>
      <c r="R245" s="2304"/>
      <c r="S245" s="2118"/>
      <c r="T245" s="2118"/>
      <c r="U245" s="2118"/>
      <c r="V245" s="2118"/>
    </row>
    <row r="246" spans="1:22" s="2157" customFormat="1" ht="30" customHeight="1">
      <c r="A246" s="2364"/>
      <c r="B246" s="2284"/>
      <c r="C246" s="3847" t="s">
        <v>6934</v>
      </c>
      <c r="D246" s="3847"/>
      <c r="E246" s="3847"/>
      <c r="F246" s="3847"/>
      <c r="G246" s="3847"/>
      <c r="H246" s="3847"/>
      <c r="I246" s="3847"/>
      <c r="J246" s="3847"/>
      <c r="K246" s="3847"/>
      <c r="L246" s="3847"/>
      <c r="M246" s="3847"/>
      <c r="N246" s="2376"/>
      <c r="O246" s="2324"/>
      <c r="P246" s="2325"/>
      <c r="Q246" s="2365"/>
      <c r="R246" s="2366"/>
      <c r="S246" s="2366"/>
      <c r="T246" s="2366"/>
      <c r="U246" s="2366"/>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48.75" customHeight="1" thickTop="1" thickBot="1">
      <c r="A248" s="3930" t="s">
        <v>7114</v>
      </c>
      <c r="B248" s="3931"/>
      <c r="C248" s="3931"/>
      <c r="D248" s="3931"/>
      <c r="E248" s="3931"/>
      <c r="F248" s="3931"/>
      <c r="G248" s="3931"/>
      <c r="H248" s="3931"/>
      <c r="I248" s="3931"/>
      <c r="J248" s="3931"/>
      <c r="K248" s="3931"/>
      <c r="L248" s="3931"/>
      <c r="M248" s="3931"/>
      <c r="N248" s="3931"/>
      <c r="O248" s="3931"/>
      <c r="P248" s="3932"/>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6"/>
      <c r="B250" s="3867"/>
      <c r="C250" s="3867"/>
      <c r="D250" s="3867"/>
      <c r="E250" s="3867"/>
      <c r="F250" s="3867"/>
      <c r="G250" s="3867"/>
      <c r="H250" s="3867"/>
      <c r="I250" s="3867"/>
      <c r="J250" s="3867"/>
      <c r="K250" s="3867"/>
      <c r="L250" s="3867"/>
      <c r="M250" s="3867"/>
      <c r="N250" s="3867"/>
      <c r="O250" s="3867"/>
      <c r="P250" s="3868"/>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5"/>
      <c r="K252" s="2335"/>
      <c r="L252" s="2335"/>
      <c r="M252" s="2264"/>
      <c r="N252" s="2265"/>
      <c r="O252" s="2327"/>
      <c r="P252" s="2336"/>
    </row>
    <row r="253" spans="1:22" s="2121" customFormat="1" ht="15.95" customHeight="1" thickBot="1">
      <c r="A253" s="2142" t="s">
        <v>3368</v>
      </c>
      <c r="B253" s="2143" t="s">
        <v>6583</v>
      </c>
      <c r="D253" s="2143"/>
      <c r="E253" s="2143"/>
      <c r="G253" s="2339"/>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0" t="s">
        <v>6584</v>
      </c>
      <c r="D254" s="2184"/>
      <c r="E254" s="2184" t="s">
        <v>6595</v>
      </c>
      <c r="F254" s="2184"/>
      <c r="G254" s="2184"/>
      <c r="H254" s="2184"/>
      <c r="I254" s="4037"/>
      <c r="J254" s="4038"/>
      <c r="K254" s="4038"/>
      <c r="L254" s="4039"/>
      <c r="M254" s="2139">
        <v>2</v>
      </c>
      <c r="N254" s="2254"/>
      <c r="O254" s="2313"/>
      <c r="P254" s="2314"/>
      <c r="Q254" s="2363" t="str">
        <f>IF(OR(O254=0,O254="",O254=$M254),"","Check!")</f>
        <v/>
      </c>
      <c r="R254" s="2304"/>
      <c r="S254" s="2118"/>
      <c r="T254" s="2118"/>
      <c r="U254" s="2118"/>
      <c r="V254" s="2118"/>
    </row>
    <row r="255" spans="1:22" ht="15.95" customHeight="1">
      <c r="A255" s="2124" t="s">
        <v>1843</v>
      </c>
      <c r="B255" s="2340" t="s">
        <v>6585</v>
      </c>
      <c r="D255" s="2184"/>
      <c r="L255" s="2184"/>
      <c r="M255" s="2139">
        <v>2</v>
      </c>
      <c r="N255" s="2254"/>
      <c r="O255" s="2243">
        <v>2</v>
      </c>
      <c r="P255" s="2244"/>
      <c r="Q255" s="2363" t="str">
        <f>IF(OR(O255=0,O255="",O255=$M255),"","Check!")</f>
        <v/>
      </c>
      <c r="R255" s="2304"/>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72.75" customHeight="1" thickTop="1" thickBot="1">
      <c r="A257" s="3930" t="s">
        <v>7108</v>
      </c>
      <c r="B257" s="3931"/>
      <c r="C257" s="3931"/>
      <c r="D257" s="3931"/>
      <c r="E257" s="3931"/>
      <c r="F257" s="3931"/>
      <c r="G257" s="3931"/>
      <c r="H257" s="3931"/>
      <c r="I257" s="3931"/>
      <c r="J257" s="3931"/>
      <c r="K257" s="3931"/>
      <c r="L257" s="3931"/>
      <c r="M257" s="3931"/>
      <c r="N257" s="3931"/>
      <c r="O257" s="3931"/>
      <c r="P257" s="3932"/>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6"/>
      <c r="B259" s="3867"/>
      <c r="C259" s="3867"/>
      <c r="D259" s="3867"/>
      <c r="E259" s="3867"/>
      <c r="F259" s="3867"/>
      <c r="G259" s="3867"/>
      <c r="H259" s="3867"/>
      <c r="I259" s="3867"/>
      <c r="J259" s="3867"/>
      <c r="K259" s="3867"/>
      <c r="L259" s="3867"/>
      <c r="M259" s="3867"/>
      <c r="N259" s="3867"/>
      <c r="O259" s="3867"/>
      <c r="P259" s="3868"/>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5"/>
      <c r="L261" s="2335"/>
      <c r="M261" s="2264"/>
      <c r="N261" s="2265"/>
      <c r="O261" s="2327"/>
      <c r="P261" s="2336"/>
    </row>
    <row r="262" spans="1:19" ht="15.95" customHeight="1">
      <c r="A262" s="2337" t="s">
        <v>3371</v>
      </c>
      <c r="B262" s="2143" t="s">
        <v>3342</v>
      </c>
      <c r="C262" s="2227"/>
      <c r="E262" s="2121"/>
      <c r="K262" s="2121"/>
      <c r="L262" s="2121"/>
      <c r="M262" s="2124">
        <v>2</v>
      </c>
      <c r="N262" s="2123"/>
      <c r="O262" s="2123"/>
      <c r="P262" s="2420">
        <f>IF($O$36="9%",P263+P265,0)</f>
        <v>0</v>
      </c>
      <c r="Q262" s="2203" t="s">
        <v>416</v>
      </c>
    </row>
    <row r="263" spans="1:19" ht="15.95" customHeight="1">
      <c r="A263" s="2124" t="s">
        <v>1841</v>
      </c>
      <c r="B263" s="2131" t="s">
        <v>3343</v>
      </c>
      <c r="C263" s="2227"/>
      <c r="E263" s="2121"/>
      <c r="G263" s="2367"/>
      <c r="I263" s="2226"/>
      <c r="K263" s="2419"/>
      <c r="M263" s="2123">
        <v>2</v>
      </c>
      <c r="N263" s="2254"/>
      <c r="O263" s="2120"/>
      <c r="P263" s="2421"/>
      <c r="Q263" s="2203"/>
      <c r="R263" s="2304"/>
    </row>
    <row r="264" spans="1:19" s="2121" customFormat="1" ht="15.95" customHeight="1">
      <c r="A264" s="2124"/>
      <c r="B264" s="2121" t="s">
        <v>6900</v>
      </c>
      <c r="N264" s="2144"/>
      <c r="O264" s="2323"/>
      <c r="P264" s="2368"/>
      <c r="R264" s="2232"/>
    </row>
    <row r="265" spans="1:19" ht="15.95" customHeight="1">
      <c r="A265" s="2124" t="s">
        <v>1843</v>
      </c>
      <c r="B265" s="2131" t="s">
        <v>3344</v>
      </c>
      <c r="C265" s="2227"/>
      <c r="E265" s="2121"/>
      <c r="G265" s="2367"/>
      <c r="I265" s="2186"/>
      <c r="L265" s="2139"/>
      <c r="M265" s="2123">
        <v>2</v>
      </c>
      <c r="N265" s="2254"/>
      <c r="O265" s="2120"/>
      <c r="P265" s="2368"/>
      <c r="Q265" s="2203"/>
      <c r="R265" s="2304"/>
    </row>
    <row r="266" spans="1:19" s="2121" customFormat="1" ht="15.95" customHeight="1">
      <c r="A266" s="2337"/>
      <c r="B266" s="2121" t="s">
        <v>6900</v>
      </c>
      <c r="M266" s="2124"/>
      <c r="N266" s="2144"/>
      <c r="O266" s="2323"/>
      <c r="P266" s="2374"/>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6"/>
      <c r="B268" s="3867"/>
      <c r="C268" s="3867"/>
      <c r="D268" s="3867"/>
      <c r="E268" s="3867"/>
      <c r="F268" s="3867"/>
      <c r="G268" s="3867"/>
      <c r="H268" s="3867"/>
      <c r="I268" s="3867"/>
      <c r="J268" s="3867"/>
      <c r="K268" s="3867"/>
      <c r="L268" s="3867"/>
      <c r="M268" s="3867"/>
      <c r="N268" s="3867"/>
      <c r="O268" s="3867"/>
      <c r="P268" s="3868"/>
      <c r="Q268" s="2252"/>
    </row>
    <row r="269" spans="1:19" ht="7.5" customHeight="1"/>
    <row r="270" spans="1:19" s="2262" customFormat="1" ht="7.5" customHeight="1" thickBot="1">
      <c r="N270" s="2326"/>
      <c r="O270" s="2327"/>
      <c r="P270" s="2327"/>
    </row>
    <row r="271" spans="1:19" ht="15.95" customHeight="1" thickBot="1">
      <c r="A271" s="2337" t="s">
        <v>3372</v>
      </c>
      <c r="B271" s="2143" t="s">
        <v>1555</v>
      </c>
      <c r="D271" s="2227"/>
      <c r="E271" s="2227"/>
      <c r="G271" s="2121"/>
      <c r="L271" s="2447" t="str">
        <f>IF(AND(O271&gt;0,NOT($O$36="9%")),"Ineligible, not 9%!","")</f>
        <v/>
      </c>
      <c r="M271" s="2124">
        <v>2</v>
      </c>
      <c r="N271" s="2232"/>
      <c r="O271" s="2362"/>
      <c r="P271" s="2320"/>
      <c r="Q271" s="2203" t="s">
        <v>416</v>
      </c>
      <c r="R271" s="2369"/>
      <c r="S271" s="2369"/>
    </row>
    <row r="272" spans="1:19" ht="15.95" customHeight="1">
      <c r="A272" s="2138"/>
      <c r="B272" s="2233" t="s">
        <v>3153</v>
      </c>
      <c r="D272" s="2227"/>
      <c r="E272" s="2227"/>
      <c r="G272" s="2121"/>
      <c r="I272" s="4059" t="s">
        <v>6059</v>
      </c>
      <c r="J272" s="4033"/>
      <c r="K272" s="4033"/>
      <c r="L272" s="4034"/>
      <c r="M272" s="2123"/>
      <c r="N272" s="2123"/>
      <c r="O272" s="2139"/>
      <c r="P272" s="2139"/>
      <c r="Q272" s="2319"/>
      <c r="R272" s="2369"/>
      <c r="S272" s="2369"/>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930" t="s">
        <v>7091</v>
      </c>
      <c r="B275" s="3931"/>
      <c r="C275" s="3931"/>
      <c r="D275" s="3931"/>
      <c r="E275" s="3931"/>
      <c r="F275" s="3931"/>
      <c r="G275" s="3931"/>
      <c r="H275" s="3931"/>
      <c r="I275" s="3931"/>
      <c r="J275" s="3931"/>
      <c r="K275" s="3931"/>
      <c r="L275" s="3931"/>
      <c r="M275" s="3931"/>
      <c r="N275" s="3931"/>
      <c r="O275" s="3931"/>
      <c r="P275" s="3932"/>
      <c r="Q275" s="2209"/>
    </row>
    <row r="276" spans="1:20" s="2121" customFormat="1" ht="15.95" customHeight="1" thickTop="1">
      <c r="B276" s="2248" t="s">
        <v>1730</v>
      </c>
      <c r="D276" s="2248"/>
      <c r="E276" s="2298"/>
      <c r="F276" s="2298"/>
      <c r="G276" s="2298"/>
      <c r="H276" s="2298"/>
      <c r="I276" s="2298"/>
      <c r="J276" s="2298"/>
      <c r="K276" s="2298"/>
      <c r="L276" s="2298"/>
      <c r="M276" s="2298"/>
      <c r="N276" s="2268"/>
      <c r="O276" s="2125"/>
      <c r="P276" s="2124"/>
      <c r="Q276" s="2120"/>
    </row>
    <row r="277" spans="1:20" ht="15.95" customHeight="1">
      <c r="A277" s="3866"/>
      <c r="B277" s="3867"/>
      <c r="C277" s="3867"/>
      <c r="D277" s="3867"/>
      <c r="E277" s="3867"/>
      <c r="F277" s="3867"/>
      <c r="G277" s="3867"/>
      <c r="H277" s="3867"/>
      <c r="I277" s="3867"/>
      <c r="J277" s="3867"/>
      <c r="K277" s="3867"/>
      <c r="L277" s="3867"/>
      <c r="M277" s="3867"/>
      <c r="N277" s="3867"/>
      <c r="O277" s="3867"/>
      <c r="P277" s="3868"/>
      <c r="Q277" s="2252"/>
    </row>
    <row r="278" spans="1:20" ht="7.5" customHeight="1"/>
    <row r="279" spans="1:20" s="2262" customFormat="1" ht="7.5" customHeight="1" thickBot="1">
      <c r="N279" s="2326"/>
      <c r="O279" s="2327"/>
      <c r="P279" s="2327"/>
    </row>
    <row r="280" spans="1:20" ht="15.95" customHeight="1" thickBot="1">
      <c r="A280" s="2142" t="s">
        <v>3375</v>
      </c>
      <c r="B280" s="2143" t="s">
        <v>3346</v>
      </c>
      <c r="D280" s="2227"/>
      <c r="E280" s="2227"/>
      <c r="F280" s="2121"/>
      <c r="G280" s="2121"/>
      <c r="H280" s="2121"/>
      <c r="J280" s="2423"/>
      <c r="K280" s="2210"/>
      <c r="M280" s="2133">
        <v>4</v>
      </c>
      <c r="N280" s="2123"/>
      <c r="O280" s="2370">
        <f>O281+O302</f>
        <v>0</v>
      </c>
      <c r="P280" s="2370">
        <f>P281+P302</f>
        <v>0</v>
      </c>
      <c r="Q280" s="2203" t="s">
        <v>416</v>
      </c>
    </row>
    <row r="281" spans="1:20" ht="15.95" customHeight="1" thickBot="1">
      <c r="A281" s="2312" t="s">
        <v>1841</v>
      </c>
      <c r="B281" s="2131" t="s">
        <v>3347</v>
      </c>
      <c r="L281" s="2232" t="str">
        <f>IF(O281&lt;=M281,"","* * Check Score! * *")</f>
        <v/>
      </c>
      <c r="M281" s="2123">
        <v>3</v>
      </c>
      <c r="N281" s="2254"/>
      <c r="O281" s="2371"/>
      <c r="P281" s="2372"/>
      <c r="Q281" s="2319" t="str">
        <f>IF(O281&lt;=M281,"","*CHECK!*")</f>
        <v/>
      </c>
      <c r="R281" s="2136"/>
      <c r="S281" s="2136"/>
      <c r="T281" s="2119"/>
    </row>
    <row r="282" spans="1:20" ht="30.95" customHeight="1">
      <c r="A282" s="2312"/>
      <c r="B282" s="4025" t="s">
        <v>6862</v>
      </c>
      <c r="C282" s="4025"/>
      <c r="D282" s="4025"/>
      <c r="E282" s="4025"/>
      <c r="F282" s="4025"/>
      <c r="G282" s="4025"/>
      <c r="H282" s="4025"/>
      <c r="I282" s="4025"/>
      <c r="J282" s="4025"/>
      <c r="K282" s="4025"/>
      <c r="L282" s="4025"/>
      <c r="N282" s="2120"/>
      <c r="O282" s="2373"/>
      <c r="P282" s="2374"/>
      <c r="R282" s="2136"/>
      <c r="S282" s="2136"/>
      <c r="T282" s="2119"/>
    </row>
    <row r="283" spans="1:20" ht="15.95" customHeight="1">
      <c r="A283" s="2312"/>
      <c r="B283" s="2422"/>
      <c r="C283" s="2157"/>
      <c r="D283" s="2157"/>
      <c r="E283" s="2157"/>
      <c r="F283" s="2157"/>
      <c r="G283" s="2157"/>
      <c r="H283" s="2157"/>
      <c r="I283" s="2157"/>
      <c r="J283" s="4026" t="s">
        <v>1848</v>
      </c>
      <c r="K283" s="4026"/>
      <c r="M283" s="4026" t="s">
        <v>1848</v>
      </c>
      <c r="N283" s="4026"/>
      <c r="O283" s="4026"/>
      <c r="P283" s="4026"/>
      <c r="R283" s="2375"/>
      <c r="S283" s="2375"/>
      <c r="T283" s="2119"/>
    </row>
    <row r="284" spans="1:20" ht="15.95" customHeight="1">
      <c r="A284" s="2254"/>
      <c r="B284" s="2376" t="s">
        <v>1844</v>
      </c>
      <c r="C284" s="2121" t="s">
        <v>1388</v>
      </c>
      <c r="I284" s="2254"/>
      <c r="J284" s="4043"/>
      <c r="K284" s="4044"/>
      <c r="L284" s="2254"/>
      <c r="M284" s="4045"/>
      <c r="N284" s="4046"/>
      <c r="O284" s="4046"/>
      <c r="P284" s="4047"/>
      <c r="R284" s="2232"/>
    </row>
    <row r="285" spans="1:20" ht="15.95" customHeight="1">
      <c r="A285" s="2230"/>
      <c r="B285" s="2214" t="s">
        <v>1846</v>
      </c>
      <c r="C285" s="2121" t="s">
        <v>3155</v>
      </c>
      <c r="I285" s="2309"/>
      <c r="J285" s="4020"/>
      <c r="K285" s="4021"/>
      <c r="L285" s="2309"/>
      <c r="M285" s="4022"/>
      <c r="N285" s="4023"/>
      <c r="O285" s="4023"/>
      <c r="P285" s="4024"/>
      <c r="R285" s="2232"/>
    </row>
    <row r="286" spans="1:20" ht="15.95" customHeight="1">
      <c r="B286" s="2376" t="s">
        <v>2332</v>
      </c>
      <c r="C286" s="2121" t="s">
        <v>3953</v>
      </c>
      <c r="I286" s="2254"/>
      <c r="J286" s="4020"/>
      <c r="K286" s="4021"/>
      <c r="L286" s="2254"/>
      <c r="M286" s="4022"/>
      <c r="N286" s="4023"/>
      <c r="O286" s="4023"/>
      <c r="P286" s="4024"/>
      <c r="R286" s="2232"/>
    </row>
    <row r="287" spans="1:20" ht="15.95" customHeight="1">
      <c r="A287" s="2230"/>
      <c r="B287" s="2376" t="s">
        <v>1150</v>
      </c>
      <c r="C287" s="2121" t="s">
        <v>3071</v>
      </c>
      <c r="I287" s="2254"/>
      <c r="J287" s="4020"/>
      <c r="K287" s="4021"/>
      <c r="L287" s="2254"/>
      <c r="M287" s="4022"/>
      <c r="N287" s="4023"/>
      <c r="O287" s="4023"/>
      <c r="P287" s="4024"/>
      <c r="R287" s="2232"/>
    </row>
    <row r="288" spans="1:20" ht="15.95" customHeight="1">
      <c r="A288" s="2254"/>
      <c r="B288" s="2214" t="s">
        <v>1151</v>
      </c>
      <c r="C288" s="2121" t="s">
        <v>2473</v>
      </c>
      <c r="I288" s="2309"/>
      <c r="J288" s="4020"/>
      <c r="K288" s="4021"/>
      <c r="L288" s="2309"/>
      <c r="M288" s="4022"/>
      <c r="N288" s="4023"/>
      <c r="O288" s="4023"/>
      <c r="P288" s="4024"/>
      <c r="R288" s="2232"/>
    </row>
    <row r="289" spans="1:26" ht="15.95" customHeight="1">
      <c r="B289" s="2376" t="s">
        <v>1742</v>
      </c>
      <c r="C289" s="2121" t="s">
        <v>1387</v>
      </c>
      <c r="I289" s="2254"/>
      <c r="J289" s="4020"/>
      <c r="K289" s="4021"/>
      <c r="L289" s="2254"/>
      <c r="M289" s="4022"/>
      <c r="N289" s="4023"/>
      <c r="O289" s="4023"/>
      <c r="P289" s="4024"/>
      <c r="R289" s="2232"/>
    </row>
    <row r="290" spans="1:26" ht="15.95" customHeight="1">
      <c r="B290" s="2376" t="s">
        <v>473</v>
      </c>
      <c r="C290" s="2121" t="s">
        <v>6232</v>
      </c>
      <c r="I290" s="2254"/>
      <c r="J290" s="4020"/>
      <c r="K290" s="4021"/>
      <c r="L290" s="2254"/>
      <c r="M290" s="2377"/>
      <c r="N290" s="2378"/>
      <c r="O290" s="2378"/>
      <c r="P290" s="2379"/>
      <c r="R290" s="2232"/>
    </row>
    <row r="291" spans="1:26" ht="15.95" customHeight="1">
      <c r="A291" s="2230"/>
      <c r="B291" s="2376" t="s">
        <v>474</v>
      </c>
      <c r="C291" s="2121" t="s">
        <v>3154</v>
      </c>
      <c r="I291" s="2254"/>
      <c r="J291" s="4020"/>
      <c r="K291" s="4021"/>
      <c r="L291" s="2254"/>
      <c r="M291" s="4022"/>
      <c r="N291" s="4023"/>
      <c r="O291" s="4023"/>
      <c r="P291" s="4024"/>
      <c r="R291" s="2232"/>
    </row>
    <row r="292" spans="1:26" ht="15.95" customHeight="1">
      <c r="B292" s="2376" t="s">
        <v>3888</v>
      </c>
      <c r="C292" s="2121" t="s">
        <v>6863</v>
      </c>
      <c r="I292" s="2254"/>
      <c r="J292" s="4020"/>
      <c r="K292" s="4021"/>
      <c r="L292" s="2254"/>
      <c r="M292" s="4022"/>
      <c r="N292" s="4023"/>
      <c r="O292" s="4023"/>
      <c r="P292" s="4024"/>
      <c r="R292" s="2232"/>
    </row>
    <row r="293" spans="1:26" ht="15.95" customHeight="1">
      <c r="B293" s="2376" t="s">
        <v>6864</v>
      </c>
      <c r="C293" s="2121" t="s">
        <v>6901</v>
      </c>
      <c r="I293" s="2254"/>
      <c r="J293" s="4020"/>
      <c r="K293" s="4021"/>
      <c r="L293" s="2254"/>
      <c r="M293" s="4022"/>
      <c r="N293" s="4023"/>
      <c r="O293" s="4023"/>
      <c r="P293" s="4024"/>
      <c r="R293" s="2232"/>
    </row>
    <row r="294" spans="1:26" ht="15.95" customHeight="1" thickBot="1">
      <c r="B294" s="2376" t="s">
        <v>6865</v>
      </c>
      <c r="C294" s="2121" t="s">
        <v>6902</v>
      </c>
      <c r="I294" s="2254"/>
      <c r="J294" s="4020"/>
      <c r="K294" s="4021"/>
      <c r="L294" s="2254"/>
      <c r="M294" s="4068"/>
      <c r="N294" s="4069"/>
      <c r="O294" s="4069"/>
      <c r="P294" s="4070"/>
      <c r="R294" s="2232"/>
    </row>
    <row r="295" spans="1:26" ht="15.95" customHeight="1" thickBot="1">
      <c r="B295" s="2121"/>
      <c r="I295" s="2138" t="s">
        <v>2413</v>
      </c>
      <c r="J295" s="4071">
        <f>SUM(J284:K294)</f>
        <v>0</v>
      </c>
      <c r="K295" s="4072"/>
      <c r="M295" s="4071">
        <f>SUM($M284:$M294)</f>
        <v>0</v>
      </c>
      <c r="N295" s="4073"/>
      <c r="O295" s="4073"/>
      <c r="P295" s="4072"/>
      <c r="R295" s="2232"/>
    </row>
    <row r="296" spans="1:26" ht="15.95" customHeight="1">
      <c r="M296" s="2136"/>
      <c r="N296" s="2136"/>
      <c r="O296" s="2120"/>
      <c r="P296" s="2136"/>
      <c r="U296" s="3890" t="s">
        <v>6907</v>
      </c>
      <c r="V296" s="3890"/>
      <c r="W296" s="3890"/>
      <c r="X296" s="3890"/>
      <c r="Y296" s="3890"/>
      <c r="Z296" s="3890"/>
    </row>
    <row r="297" spans="1:26" ht="15.95" customHeight="1">
      <c r="A297" s="2121"/>
      <c r="B297" s="2331"/>
      <c r="C297" s="2227" t="s">
        <v>2412</v>
      </c>
      <c r="D297" s="2255"/>
      <c r="E297" s="2255"/>
      <c r="I297" s="2254" t="s">
        <v>6235</v>
      </c>
      <c r="J297" s="4060">
        <f>'Part V-Revenues &amp; Expenses'!$P$67</f>
        <v>90</v>
      </c>
      <c r="K297" s="4061"/>
      <c r="L297" s="2136"/>
      <c r="M297" s="2136"/>
      <c r="N297" s="2136"/>
      <c r="O297" s="2120"/>
      <c r="P297" s="2136"/>
      <c r="U297" s="2431" t="s">
        <v>6905</v>
      </c>
      <c r="V297" s="2431" t="s">
        <v>6906</v>
      </c>
      <c r="W297" s="2431" t="s">
        <v>6905</v>
      </c>
      <c r="X297" s="2431" t="s">
        <v>6906</v>
      </c>
      <c r="Y297" s="2431" t="s">
        <v>6905</v>
      </c>
      <c r="Z297" s="2431" t="s">
        <v>6906</v>
      </c>
    </row>
    <row r="298" spans="1:26" ht="15.95" customHeight="1">
      <c r="C298" s="2255"/>
      <c r="D298" s="2255"/>
      <c r="E298" s="2255"/>
      <c r="I298" s="2380" t="s">
        <v>6236</v>
      </c>
      <c r="J298" s="4074">
        <f>IF(J297=0,0,J295/J297)</f>
        <v>0</v>
      </c>
      <c r="K298" s="4075"/>
      <c r="M298" s="4076">
        <f>IF(J297=0,0,M295/J297)</f>
        <v>0</v>
      </c>
      <c r="N298" s="4077"/>
      <c r="O298" s="4077"/>
      <c r="P298" s="4078"/>
      <c r="S298" s="2430" t="s">
        <v>6903</v>
      </c>
      <c r="U298" s="2424">
        <v>500000</v>
      </c>
      <c r="V298" s="2425">
        <v>999999.99</v>
      </c>
      <c r="W298" s="2424">
        <v>1000000</v>
      </c>
      <c r="X298" s="2425">
        <v>1999999.99</v>
      </c>
      <c r="Y298" s="2424">
        <v>2000000</v>
      </c>
      <c r="Z298" s="2426"/>
    </row>
    <row r="299" spans="1:26" ht="15.95" customHeight="1">
      <c r="C299" s="2255"/>
      <c r="D299" s="2255"/>
      <c r="E299" s="2255"/>
      <c r="I299" s="2230" t="s">
        <v>6866</v>
      </c>
      <c r="J299" s="4060">
        <f>IF(J295&gt;=$Y$298,$Y$300,IF(J295&gt;=$W$298,$W$300,IF(J295&gt;=$U$298,$U$300,0)))</f>
        <v>0</v>
      </c>
      <c r="K299" s="4061"/>
      <c r="M299" s="4060">
        <f t="shared" ref="M299" si="0">IF(M295&gt;=$Y$298,$Y$300,IF(M295&gt;=$W$298,$W$300,IF(M295&gt;=$U$298,$U$300,0)))</f>
        <v>0</v>
      </c>
      <c r="N299" s="4062"/>
      <c r="O299" s="4062">
        <f t="shared" ref="O299" si="1">IF(O295&gt;=$Y$298,$Y$300,IF(O295&gt;=$W$298,$W$300,IF(O295&gt;=$U$298,$U$300,0)))</f>
        <v>0</v>
      </c>
      <c r="P299" s="4061"/>
      <c r="S299" s="2430" t="s">
        <v>6904</v>
      </c>
      <c r="U299" s="2427">
        <v>10000</v>
      </c>
      <c r="V299" s="2428">
        <v>19999.990000000002</v>
      </c>
      <c r="W299" s="2427">
        <v>20000</v>
      </c>
      <c r="X299" s="2428">
        <v>29999.99</v>
      </c>
      <c r="Y299" s="2427">
        <v>30000</v>
      </c>
      <c r="Z299" s="2429"/>
    </row>
    <row r="300" spans="1:26" ht="15.95" customHeight="1">
      <c r="C300" s="2255"/>
      <c r="D300" s="2255"/>
      <c r="E300" s="2255"/>
      <c r="I300" s="2230" t="s">
        <v>6237</v>
      </c>
      <c r="J300" s="4065">
        <f>IF(J298&gt;=$Y$299,$Y$300,IF(J298&gt;=$W$299,$W$300,IF(J298&gt;=$U$299,$U$300,0)))</f>
        <v>0</v>
      </c>
      <c r="K300" s="4066"/>
      <c r="L300" s="2136"/>
      <c r="M300" s="4065">
        <f>IF(M298&gt;=$Y$299,$Y$300,IF(M298&gt;=$W$299,$W$300,IF(M298&gt;=$U$299,$U$300,0)))</f>
        <v>0</v>
      </c>
      <c r="N300" s="4067"/>
      <c r="O300" s="4067"/>
      <c r="P300" s="4066"/>
      <c r="S300" s="2430" t="s">
        <v>6144</v>
      </c>
      <c r="U300" s="3884">
        <v>1</v>
      </c>
      <c r="V300" s="3885"/>
      <c r="W300" s="3884">
        <v>2</v>
      </c>
      <c r="X300" s="3885"/>
      <c r="Y300" s="3884">
        <v>3</v>
      </c>
      <c r="Z300" s="3885"/>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2"/>
      <c r="P302" s="2320"/>
      <c r="Q302" s="2304"/>
      <c r="V302" s="2354"/>
    </row>
    <row r="303" spans="1:26" ht="30.6" customHeight="1">
      <c r="A303" s="2138"/>
      <c r="B303" s="2284"/>
      <c r="C303" s="3847" t="s">
        <v>6867</v>
      </c>
      <c r="D303" s="3847"/>
      <c r="E303" s="3847"/>
      <c r="F303" s="3847"/>
      <c r="G303" s="3847"/>
      <c r="H303" s="3847"/>
      <c r="I303" s="3847"/>
      <c r="J303" s="3847"/>
      <c r="K303" s="3847"/>
      <c r="L303" s="3847"/>
      <c r="M303" s="3847"/>
      <c r="N303" s="2412"/>
      <c r="O303" s="2381"/>
      <c r="P303" s="2382"/>
      <c r="V303" s="2354"/>
    </row>
    <row r="304" spans="1:26" ht="15.95" customHeight="1">
      <c r="A304" s="2138"/>
      <c r="B304" s="2312"/>
      <c r="C304" s="2121" t="s">
        <v>6868</v>
      </c>
      <c r="D304" s="2121"/>
      <c r="E304" s="2121"/>
      <c r="F304" s="2121"/>
      <c r="G304" s="2121"/>
      <c r="H304" s="2121"/>
      <c r="I304" s="2121"/>
      <c r="J304" s="2121"/>
      <c r="K304" s="2121"/>
      <c r="M304" s="2121"/>
      <c r="N304" s="2144"/>
      <c r="O304" s="2269"/>
      <c r="P304" s="2270"/>
      <c r="V304" s="2354"/>
    </row>
    <row r="305" spans="1:19" ht="15.95" customHeight="1">
      <c r="B305" s="2312"/>
      <c r="C305" s="2120" t="s">
        <v>6869</v>
      </c>
      <c r="N305" s="2144"/>
      <c r="O305" s="2246"/>
      <c r="P305" s="2247"/>
    </row>
    <row r="306" spans="1:19" ht="15.95" customHeight="1" thickBot="1">
      <c r="B306" s="2260" t="s">
        <v>3240</v>
      </c>
    </row>
    <row r="307" spans="1:19" ht="15.95" customHeight="1" thickTop="1" thickBot="1">
      <c r="A307" s="3930" t="s">
        <v>7091</v>
      </c>
      <c r="B307" s="3931"/>
      <c r="C307" s="3931"/>
      <c r="D307" s="3931"/>
      <c r="E307" s="3931"/>
      <c r="F307" s="3931"/>
      <c r="G307" s="3931"/>
      <c r="H307" s="3931"/>
      <c r="I307" s="3931"/>
      <c r="J307" s="3931"/>
      <c r="K307" s="3931"/>
      <c r="L307" s="3931"/>
      <c r="M307" s="3931"/>
      <c r="N307" s="3931"/>
      <c r="O307" s="3931"/>
      <c r="P307" s="3932"/>
      <c r="Q307" s="2209"/>
    </row>
    <row r="308" spans="1:19" s="2121" customFormat="1" ht="15.95" customHeight="1" thickTop="1">
      <c r="B308" s="2248" t="s">
        <v>1730</v>
      </c>
      <c r="C308" s="2147"/>
      <c r="D308" s="2248"/>
      <c r="E308" s="2359"/>
      <c r="F308" s="2298"/>
      <c r="G308" s="2298"/>
      <c r="H308" s="2298"/>
      <c r="I308" s="2298"/>
      <c r="J308" s="2298"/>
      <c r="K308" s="2298"/>
      <c r="L308" s="2298"/>
      <c r="M308" s="2298"/>
      <c r="N308" s="2268"/>
      <c r="O308" s="2125"/>
      <c r="P308" s="2124"/>
      <c r="Q308" s="2120"/>
    </row>
    <row r="309" spans="1:19" ht="15.95" customHeight="1">
      <c r="A309" s="3866"/>
      <c r="B309" s="3867"/>
      <c r="C309" s="3867"/>
      <c r="D309" s="3867"/>
      <c r="E309" s="3867"/>
      <c r="F309" s="3867"/>
      <c r="G309" s="3867"/>
      <c r="H309" s="3867"/>
      <c r="I309" s="3867"/>
      <c r="J309" s="3867"/>
      <c r="K309" s="3867"/>
      <c r="L309" s="3867"/>
      <c r="M309" s="3867"/>
      <c r="N309" s="3867"/>
      <c r="O309" s="3867"/>
      <c r="P309" s="3868"/>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299"/>
      <c r="D311" s="2299"/>
      <c r="E311" s="2299"/>
      <c r="F311" s="2299"/>
      <c r="G311" s="2299"/>
      <c r="H311" s="2299"/>
      <c r="I311" s="2299"/>
      <c r="J311" s="2299"/>
      <c r="K311" s="2299"/>
      <c r="L311" s="2299"/>
      <c r="M311" s="2299"/>
      <c r="N311" s="2300"/>
      <c r="O311" s="2301"/>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4" t="str">
        <f>IF(AND(O312&gt;0,NOT($F$36="New Supply")), "Ineligible to score in this section, not New Supply!","")</f>
        <v/>
      </c>
    </row>
    <row r="313" spans="1:19" s="2157" customFormat="1" ht="15.95" customHeight="1">
      <c r="A313" s="2337"/>
      <c r="E313" s="2330" t="s">
        <v>3072</v>
      </c>
      <c r="G313" s="4059" t="s">
        <v>3885</v>
      </c>
      <c r="H313" s="4033"/>
      <c r="I313" s="4033"/>
      <c r="J313" s="4033"/>
      <c r="K313" s="4033"/>
      <c r="L313" s="4034"/>
      <c r="M313" s="2285"/>
      <c r="N313" s="2285"/>
      <c r="O313" s="2285"/>
      <c r="P313" s="2285"/>
      <c r="Q313" s="2121"/>
    </row>
    <row r="314" spans="1:19" s="2157" customFormat="1" ht="15.95" customHeight="1">
      <c r="A314" s="2211" t="s">
        <v>1841</v>
      </c>
      <c r="B314" s="2131" t="s">
        <v>3954</v>
      </c>
      <c r="M314" s="2285">
        <v>2</v>
      </c>
      <c r="N314" s="2309"/>
      <c r="O314" s="2307"/>
      <c r="P314" s="2383"/>
      <c r="Q314" s="2319" t="str">
        <f>IF(OR($O314=$M314,$O314=0,$O314=""),"","*CHECK!*")</f>
        <v/>
      </c>
      <c r="R314" s="2304"/>
    </row>
    <row r="315" spans="1:19" ht="15.95" customHeight="1">
      <c r="A315" s="2344"/>
      <c r="B315" s="4028" t="s">
        <v>3414</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5" customHeight="1">
      <c r="A316" s="2384" t="s">
        <v>1843</v>
      </c>
      <c r="B316" s="2288" t="s">
        <v>3955</v>
      </c>
      <c r="M316" s="2285">
        <v>2</v>
      </c>
      <c r="N316" s="2309"/>
      <c r="O316" s="2307"/>
      <c r="P316" s="2383"/>
      <c r="Q316" s="2319" t="str">
        <f>IF(OR($O316=$M316,$O316=0,$O316=""),"","*CHECK!*")</f>
        <v/>
      </c>
      <c r="R316" s="2304"/>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930" t="s">
        <v>7091</v>
      </c>
      <c r="B318" s="3931"/>
      <c r="C318" s="3931"/>
      <c r="D318" s="3931"/>
      <c r="E318" s="3931"/>
      <c r="F318" s="3931"/>
      <c r="G318" s="3931"/>
      <c r="H318" s="3931"/>
      <c r="I318" s="3931"/>
      <c r="J318" s="3931"/>
      <c r="K318" s="3931"/>
      <c r="L318" s="3931"/>
      <c r="M318" s="3931"/>
      <c r="N318" s="3931"/>
      <c r="O318" s="3931"/>
      <c r="P318" s="3932"/>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6"/>
      <c r="B320" s="3867"/>
      <c r="C320" s="3867"/>
      <c r="D320" s="3867"/>
      <c r="E320" s="3867"/>
      <c r="F320" s="3867"/>
      <c r="G320" s="3867"/>
      <c r="H320" s="3867"/>
      <c r="I320" s="3867"/>
      <c r="J320" s="3867"/>
      <c r="K320" s="3867"/>
      <c r="L320" s="3867"/>
      <c r="M320" s="3867"/>
      <c r="N320" s="3867"/>
      <c r="O320" s="3867"/>
      <c r="P320" s="3868"/>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299"/>
      <c r="D322" s="2299"/>
      <c r="E322" s="2299"/>
      <c r="F322" s="2299"/>
      <c r="G322" s="2299"/>
      <c r="H322" s="2299"/>
      <c r="I322" s="2299"/>
      <c r="J322" s="2299"/>
      <c r="K322" s="2299"/>
      <c r="L322" s="2299"/>
      <c r="M322" s="2299"/>
      <c r="N322" s="2300"/>
      <c r="O322" s="2301"/>
      <c r="P322" s="2265"/>
    </row>
    <row r="323" spans="1:18" s="2121" customFormat="1" ht="15.95" customHeight="1" thickBot="1">
      <c r="A323" s="2337"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7"/>
      <c r="B324" s="2143"/>
      <c r="D324" s="2143"/>
      <c r="E324" s="2143"/>
      <c r="L324" s="2232"/>
      <c r="M324" s="2124"/>
      <c r="N324" s="2123"/>
      <c r="O324" s="2123"/>
      <c r="P324" s="2123"/>
      <c r="Q324" s="2203"/>
    </row>
    <row r="325" spans="1:18" s="2121" customFormat="1" ht="15.95" customHeight="1">
      <c r="A325" s="2337"/>
      <c r="B325" s="2131" t="s">
        <v>3177</v>
      </c>
      <c r="D325" s="2143"/>
      <c r="E325" s="2143"/>
      <c r="L325" s="2232"/>
      <c r="M325" s="2124"/>
      <c r="N325" s="2123"/>
      <c r="O325" s="2385">
        <v>10</v>
      </c>
      <c r="P325" s="2385">
        <v>10</v>
      </c>
      <c r="Q325" s="2203"/>
    </row>
    <row r="326" spans="1:18" s="2121" customFormat="1" ht="15.95" customHeight="1">
      <c r="A326" s="2124" t="s">
        <v>1841</v>
      </c>
      <c r="B326" s="2131" t="s">
        <v>6939</v>
      </c>
      <c r="D326" s="2143"/>
      <c r="E326" s="2143"/>
      <c r="L326" s="2232"/>
      <c r="M326" s="2124"/>
      <c r="N326" s="2123"/>
      <c r="O326" s="2386"/>
      <c r="P326" s="2353"/>
      <c r="Q326" s="2203"/>
    </row>
    <row r="327" spans="1:18" s="2121" customFormat="1" ht="15.95" customHeight="1">
      <c r="A327" s="2124" t="s">
        <v>1843</v>
      </c>
      <c r="B327" s="2131" t="s">
        <v>6940</v>
      </c>
      <c r="D327" s="2143"/>
      <c r="E327" s="2143"/>
      <c r="L327" s="2232"/>
      <c r="M327" s="2124"/>
      <c r="N327" s="2123"/>
      <c r="O327" s="2387"/>
      <c r="P327" s="2244"/>
      <c r="Q327" s="2203"/>
    </row>
    <row r="328" spans="1:18" s="2121" customFormat="1" ht="15.95" customHeight="1">
      <c r="A328" s="2141"/>
      <c r="B328" s="2141" t="s">
        <v>1730</v>
      </c>
      <c r="D328" s="2141"/>
      <c r="E328" s="2298"/>
      <c r="F328" s="2298"/>
      <c r="G328" s="2298"/>
      <c r="H328" s="2298"/>
      <c r="I328" s="2298"/>
      <c r="J328" s="2298"/>
      <c r="K328" s="2298"/>
      <c r="L328" s="2298"/>
      <c r="M328" s="2298"/>
      <c r="N328" s="2268"/>
      <c r="O328" s="2125"/>
      <c r="P328" s="2124"/>
    </row>
    <row r="329" spans="1:18" ht="15.95" customHeight="1">
      <c r="A329" s="3866"/>
      <c r="B329" s="3867"/>
      <c r="C329" s="3867"/>
      <c r="D329" s="3867"/>
      <c r="E329" s="3867"/>
      <c r="F329" s="3867"/>
      <c r="G329" s="3867"/>
      <c r="H329" s="3867"/>
      <c r="I329" s="3867"/>
      <c r="J329" s="3867"/>
      <c r="K329" s="3867"/>
      <c r="L329" s="3867"/>
      <c r="M329" s="3867"/>
      <c r="N329" s="3867"/>
      <c r="O329" s="3867"/>
      <c r="P329" s="3868"/>
      <c r="Q329" s="2209"/>
      <c r="R329" s="2209"/>
    </row>
    <row r="330" spans="1:18" ht="7.5" customHeight="1">
      <c r="A330" s="2337"/>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8"/>
      <c r="B331" s="2263"/>
      <c r="C331" s="2299"/>
      <c r="D331" s="2299"/>
      <c r="E331" s="2299"/>
      <c r="F331" s="2299"/>
      <c r="G331" s="2299"/>
      <c r="H331" s="2299"/>
      <c r="I331" s="2299"/>
      <c r="J331" s="2299"/>
      <c r="K331" s="2299"/>
      <c r="L331" s="2299"/>
      <c r="M331" s="2299"/>
      <c r="N331" s="2300"/>
      <c r="O331" s="2301"/>
      <c r="P331" s="2265"/>
    </row>
    <row r="332" spans="1:18" ht="15.95" customHeight="1" thickBot="1">
      <c r="A332" s="2337" t="s">
        <v>3378</v>
      </c>
      <c r="B332" s="2143" t="s">
        <v>6604</v>
      </c>
      <c r="C332" s="2161"/>
      <c r="D332" s="2161"/>
      <c r="E332" s="2161"/>
      <c r="F332" s="2161"/>
      <c r="G332" s="2281"/>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4"/>
    </row>
    <row r="333" spans="1:18" ht="15.95" customHeight="1">
      <c r="A333" s="2124" t="s">
        <v>1841</v>
      </c>
      <c r="B333" s="2131" t="s">
        <v>6606</v>
      </c>
      <c r="C333" s="2121"/>
      <c r="D333" s="2121"/>
      <c r="E333" s="2131"/>
      <c r="F333" s="2121"/>
      <c r="G333" s="2121"/>
      <c r="H333" s="2121"/>
      <c r="I333" s="2121"/>
      <c r="J333" s="2121"/>
      <c r="K333" s="2123"/>
      <c r="L333" s="2254"/>
      <c r="M333" s="2123">
        <v>1</v>
      </c>
      <c r="N333" s="2389"/>
      <c r="O333" s="2313">
        <v>1</v>
      </c>
      <c r="P333" s="2314"/>
      <c r="Q333" s="2319" t="str">
        <f>IF(OR($O333=$M333,$O333=0,$O333=""),"","*CHECK!*")</f>
        <v/>
      </c>
      <c r="R333" s="2304"/>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89"/>
      <c r="O334" s="2240"/>
      <c r="P334" s="2241"/>
      <c r="Q334" s="2319" t="str">
        <f>IF(OR($O334=$M334,$O334=0,$O334=""),"","*CHECK!*")</f>
        <v/>
      </c>
      <c r="R334" s="2304"/>
    </row>
    <row r="335" spans="1:18" ht="15.95" customHeight="1">
      <c r="A335" s="2124" t="s">
        <v>698</v>
      </c>
      <c r="B335" s="2131" t="s">
        <v>6238</v>
      </c>
      <c r="C335" s="2121"/>
      <c r="D335" s="2121"/>
      <c r="E335" s="2121"/>
      <c r="F335" s="2121"/>
      <c r="G335" s="2121"/>
      <c r="H335" s="2121"/>
      <c r="I335" s="2121"/>
      <c r="J335" s="2121"/>
      <c r="K335" s="2121"/>
      <c r="L335" s="2121"/>
      <c r="M335" s="2123">
        <v>1</v>
      </c>
      <c r="N335" s="2389"/>
      <c r="O335" s="2295"/>
      <c r="P335" s="2296"/>
      <c r="Q335" s="2319" t="str">
        <f>IF(OR($O335=$M335,$O335=0,$O335=""),"","*CHECK!*")</f>
        <v/>
      </c>
      <c r="R335" s="2304"/>
    </row>
    <row r="336" spans="1:18" s="2121" customFormat="1" ht="15.95" customHeight="1">
      <c r="A336" s="2124" t="s">
        <v>1962</v>
      </c>
      <c r="B336" s="2131" t="s">
        <v>6608</v>
      </c>
      <c r="M336" s="2123">
        <v>2</v>
      </c>
      <c r="N336" s="2389"/>
      <c r="O336" s="2305">
        <f>O337-O338</f>
        <v>2</v>
      </c>
      <c r="P336" s="2305">
        <f>P337-P338</f>
        <v>2</v>
      </c>
      <c r="Q336" s="2319" t="str">
        <f>IF(OR($O336=$M336,$O336=0,$O336=""),"","*CHECK!*")</f>
        <v/>
      </c>
    </row>
    <row r="337" spans="1:18" s="2121" customFormat="1" ht="15.95" customHeight="1">
      <c r="A337" s="2337"/>
      <c r="C337" s="2131" t="s">
        <v>3177</v>
      </c>
      <c r="D337" s="2143"/>
      <c r="E337" s="2143"/>
      <c r="L337" s="2232"/>
      <c r="M337" s="2124"/>
      <c r="N337" s="2123"/>
      <c r="O337" s="2390">
        <v>2</v>
      </c>
      <c r="P337" s="2390">
        <v>2</v>
      </c>
      <c r="Q337" s="2203"/>
    </row>
    <row r="338" spans="1:18" s="2121" customFormat="1" ht="15.95" customHeight="1">
      <c r="A338" s="2337"/>
      <c r="C338" s="2131" t="s">
        <v>3178</v>
      </c>
      <c r="D338" s="2143"/>
      <c r="E338" s="2143"/>
      <c r="L338" s="2232"/>
      <c r="M338" s="2124"/>
      <c r="N338" s="2123"/>
      <c r="O338" s="2391"/>
      <c r="P338" s="2308"/>
      <c r="Q338" s="2203"/>
      <c r="R338" s="2304"/>
    </row>
    <row r="339" spans="1:18" ht="15.95" customHeight="1" thickBot="1">
      <c r="A339" s="2121"/>
      <c r="B339" s="2260" t="s">
        <v>3240</v>
      </c>
      <c r="C339" s="2121"/>
      <c r="D339" s="2121"/>
      <c r="E339" s="2121"/>
      <c r="F339" s="2121"/>
      <c r="G339" s="2121"/>
      <c r="H339" s="2121"/>
      <c r="I339" s="2121"/>
      <c r="J339" s="2121"/>
      <c r="K339" s="2121"/>
      <c r="M339" s="2123"/>
      <c r="O339" s="2133"/>
    </row>
    <row r="340" spans="1:18" ht="97.5" customHeight="1" thickTop="1" thickBot="1">
      <c r="A340" s="3930" t="s">
        <v>7128</v>
      </c>
      <c r="B340" s="3931"/>
      <c r="C340" s="3931"/>
      <c r="D340" s="3931"/>
      <c r="E340" s="3931"/>
      <c r="F340" s="3931"/>
      <c r="G340" s="3931"/>
      <c r="H340" s="3931"/>
      <c r="I340" s="3931"/>
      <c r="J340" s="3931"/>
      <c r="K340" s="3931"/>
      <c r="L340" s="3931"/>
      <c r="M340" s="3931"/>
      <c r="N340" s="3931"/>
      <c r="O340" s="3931"/>
      <c r="P340" s="3932"/>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6"/>
      <c r="B342" s="3867"/>
      <c r="C342" s="3867"/>
      <c r="D342" s="3867"/>
      <c r="E342" s="3867"/>
      <c r="F342" s="3867"/>
      <c r="G342" s="3867"/>
      <c r="H342" s="3867"/>
      <c r="I342" s="3867"/>
      <c r="J342" s="3867"/>
      <c r="K342" s="3867"/>
      <c r="L342" s="3867"/>
      <c r="M342" s="3867"/>
      <c r="N342" s="3867"/>
      <c r="O342" s="3867"/>
      <c r="P342" s="3868"/>
      <c r="Q342" s="2252"/>
    </row>
    <row r="343" spans="1:18" ht="7.5" customHeight="1">
      <c r="A343" s="2337"/>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8"/>
      <c r="B344" s="2263"/>
      <c r="C344" s="2299"/>
      <c r="D344" s="2299"/>
      <c r="E344" s="2299"/>
      <c r="F344" s="2299"/>
      <c r="G344" s="2299"/>
      <c r="H344" s="2299"/>
      <c r="I344" s="2299"/>
      <c r="J344" s="2299"/>
      <c r="K344" s="2299"/>
      <c r="L344" s="2299"/>
      <c r="M344" s="2299"/>
      <c r="N344" s="2300"/>
      <c r="O344" s="2301"/>
      <c r="P344" s="2265"/>
    </row>
    <row r="345" spans="1:18" s="2121" customFormat="1" ht="15.95" customHeight="1" thickBot="1">
      <c r="A345" s="2337" t="s">
        <v>3379</v>
      </c>
      <c r="B345" s="2143" t="s">
        <v>6239</v>
      </c>
      <c r="D345" s="2143"/>
      <c r="E345" s="2143"/>
      <c r="L345" s="2447" t="str">
        <f>IF(AND($O345&gt;0,NOT($F$36="Preservation")),"Ineligible, not Preservation!","")</f>
        <v/>
      </c>
      <c r="M345" s="2124">
        <v>6</v>
      </c>
      <c r="N345" s="2123"/>
      <c r="O345" s="2362"/>
      <c r="P345" s="2320"/>
      <c r="Q345" s="2203" t="s">
        <v>416</v>
      </c>
      <c r="R345" s="2304"/>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930" t="s">
        <v>7091</v>
      </c>
      <c r="B347" s="3931"/>
      <c r="C347" s="3931"/>
      <c r="D347" s="3931"/>
      <c r="E347" s="3931"/>
      <c r="F347" s="3931"/>
      <c r="G347" s="3931"/>
      <c r="H347" s="3931"/>
      <c r="I347" s="3931"/>
      <c r="J347" s="3931"/>
      <c r="K347" s="3931"/>
      <c r="L347" s="3931"/>
      <c r="M347" s="3931"/>
      <c r="N347" s="3931"/>
      <c r="O347" s="3931"/>
      <c r="P347" s="3932"/>
      <c r="Q347" s="2209"/>
      <c r="R347" s="2209"/>
    </row>
    <row r="348" spans="1:18" s="2121" customFormat="1" ht="15.95" customHeight="1" thickTop="1">
      <c r="A348" s="2141"/>
      <c r="B348" s="2141" t="s">
        <v>1730</v>
      </c>
      <c r="D348" s="2141"/>
      <c r="E348" s="2298"/>
      <c r="F348" s="2298"/>
      <c r="G348" s="2298"/>
      <c r="H348" s="2298"/>
      <c r="I348" s="2298"/>
      <c r="J348" s="2298"/>
      <c r="K348" s="2298"/>
      <c r="L348" s="2298"/>
      <c r="M348" s="2298"/>
      <c r="N348" s="2268"/>
      <c r="O348" s="2125"/>
      <c r="P348" s="2124"/>
    </row>
    <row r="349" spans="1:18" ht="15.95" customHeight="1">
      <c r="A349" s="3866"/>
      <c r="B349" s="3867"/>
      <c r="C349" s="3867"/>
      <c r="D349" s="3867"/>
      <c r="E349" s="3867"/>
      <c r="F349" s="3867"/>
      <c r="G349" s="3867"/>
      <c r="H349" s="3867"/>
      <c r="I349" s="3867"/>
      <c r="J349" s="3867"/>
      <c r="K349" s="3867"/>
      <c r="L349" s="3867"/>
      <c r="M349" s="3867"/>
      <c r="N349" s="3867"/>
      <c r="O349" s="3867"/>
      <c r="P349" s="3868"/>
      <c r="Q349" s="2209"/>
      <c r="R349" s="2209"/>
    </row>
    <row r="350" spans="1:18" ht="9" customHeight="1">
      <c r="A350" s="2337"/>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8"/>
      <c r="B351" s="2263"/>
      <c r="C351" s="2299"/>
      <c r="D351" s="2299"/>
      <c r="E351" s="2299"/>
      <c r="F351" s="2299"/>
      <c r="G351" s="2299"/>
      <c r="H351" s="2299"/>
      <c r="I351" s="2299"/>
      <c r="J351" s="2299"/>
      <c r="K351" s="2299"/>
      <c r="L351" s="2299"/>
      <c r="M351" s="2299"/>
      <c r="N351" s="2300"/>
      <c r="O351" s="2301"/>
      <c r="P351" s="2265"/>
    </row>
    <row r="352" spans="1:18" s="2121" customFormat="1" ht="15.95" customHeight="1">
      <c r="A352" s="2337" t="s">
        <v>3380</v>
      </c>
      <c r="B352" s="2143" t="s">
        <v>6915</v>
      </c>
      <c r="D352" s="2143"/>
      <c r="E352" s="2143"/>
      <c r="F352" s="2136"/>
      <c r="L352" s="2319" t="str">
        <f>IF(OR($O352=$M352,$O352=0,$O352=""),"","*CHECK!*")</f>
        <v/>
      </c>
      <c r="M352" s="2124">
        <v>6</v>
      </c>
      <c r="N352" s="2123"/>
      <c r="O352" s="2123"/>
      <c r="P352" s="2392"/>
      <c r="Q352" s="2203" t="s">
        <v>416</v>
      </c>
      <c r="R352" s="2304"/>
    </row>
    <row r="353" spans="1:18" s="2121" customFormat="1" ht="15.95" customHeight="1">
      <c r="A353" s="2337"/>
      <c r="B353" s="2121" t="s">
        <v>6870</v>
      </c>
      <c r="D353" s="2143"/>
      <c r="E353" s="2143"/>
      <c r="F353" s="2136"/>
      <c r="L353" s="2319"/>
      <c r="M353" s="2124"/>
      <c r="N353" s="2123"/>
      <c r="O353" s="2323"/>
      <c r="P353" s="2368"/>
      <c r="Q353" s="2203"/>
      <c r="R353" s="2304"/>
    </row>
    <row r="354" spans="1:18" s="2121" customFormat="1" ht="15.95" customHeight="1">
      <c r="A354" s="2141"/>
      <c r="B354" s="2141" t="s">
        <v>1730</v>
      </c>
      <c r="D354" s="2141"/>
      <c r="E354" s="2298"/>
      <c r="F354" s="2298"/>
      <c r="G354" s="2298"/>
      <c r="H354" s="2298"/>
      <c r="I354" s="2298"/>
      <c r="J354" s="2298"/>
      <c r="K354" s="2298"/>
      <c r="L354" s="2298"/>
      <c r="M354" s="2298"/>
      <c r="N354" s="2268"/>
      <c r="O354" s="2125"/>
      <c r="P354" s="2124"/>
    </row>
    <row r="355" spans="1:18" ht="15.95" customHeight="1">
      <c r="A355" s="3866"/>
      <c r="B355" s="3867"/>
      <c r="C355" s="3867"/>
      <c r="D355" s="3867"/>
      <c r="E355" s="3867"/>
      <c r="F355" s="3867"/>
      <c r="G355" s="3867"/>
      <c r="H355" s="3867"/>
      <c r="I355" s="3867"/>
      <c r="J355" s="3867"/>
      <c r="K355" s="3867"/>
      <c r="L355" s="3867"/>
      <c r="M355" s="3867"/>
      <c r="N355" s="3867"/>
      <c r="O355" s="3867"/>
      <c r="P355" s="3868"/>
      <c r="Q355" s="2209"/>
      <c r="R355" s="2209"/>
    </row>
    <row r="356" spans="1:18" ht="9" customHeight="1">
      <c r="A356" s="2337"/>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8"/>
      <c r="B357" s="2263"/>
      <c r="C357" s="2299"/>
      <c r="D357" s="2299"/>
      <c r="E357" s="2299"/>
      <c r="F357" s="2299"/>
      <c r="G357" s="2299"/>
      <c r="H357" s="2299"/>
      <c r="I357" s="2299"/>
      <c r="J357" s="2299"/>
      <c r="K357" s="2299"/>
      <c r="L357" s="2299"/>
      <c r="M357" s="2299"/>
      <c r="N357" s="2300"/>
      <c r="O357" s="2301"/>
      <c r="P357" s="2265"/>
    </row>
    <row r="358" spans="1:18" s="2121" customFormat="1" ht="15.95" customHeight="1" thickBot="1">
      <c r="A358" s="2337" t="s">
        <v>3802</v>
      </c>
      <c r="B358" s="2143" t="s">
        <v>6610</v>
      </c>
      <c r="D358" s="2143"/>
      <c r="L358" s="2447" t="str">
        <f>IF(AND($O358&gt;0,NOT($F$36="Preservation")),"Ineligible, not Preservation!","")</f>
        <v/>
      </c>
      <c r="M358" s="2124">
        <v>4</v>
      </c>
      <c r="N358" s="2123"/>
      <c r="O358" s="2362"/>
      <c r="P358" s="2320"/>
      <c r="Q358" s="2203" t="s">
        <v>416</v>
      </c>
      <c r="R358" s="2304"/>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930" t="s">
        <v>7091</v>
      </c>
      <c r="B360" s="3931"/>
      <c r="C360" s="3931"/>
      <c r="D360" s="3931"/>
      <c r="E360" s="3931"/>
      <c r="F360" s="3931"/>
      <c r="G360" s="3931"/>
      <c r="H360" s="3931"/>
      <c r="I360" s="3931"/>
      <c r="J360" s="3931"/>
      <c r="K360" s="3931"/>
      <c r="L360" s="3931"/>
      <c r="M360" s="3931"/>
      <c r="N360" s="3931"/>
      <c r="O360" s="3931"/>
      <c r="P360" s="3932"/>
      <c r="Q360" s="2209"/>
      <c r="R360" s="2209"/>
    </row>
    <row r="361" spans="1:18" s="2121" customFormat="1" ht="15.95" customHeight="1" thickTop="1">
      <c r="A361" s="2141"/>
      <c r="B361" s="2141" t="s">
        <v>1730</v>
      </c>
      <c r="D361" s="2141"/>
      <c r="E361" s="2298"/>
      <c r="F361" s="2298"/>
      <c r="G361" s="2298"/>
      <c r="H361" s="2298"/>
      <c r="I361" s="2298"/>
      <c r="J361" s="2298"/>
      <c r="K361" s="2298"/>
      <c r="L361" s="2298"/>
      <c r="M361" s="2298"/>
      <c r="N361" s="2268"/>
      <c r="O361" s="2125"/>
      <c r="P361" s="2124"/>
    </row>
    <row r="362" spans="1:18" ht="15.95" customHeight="1">
      <c r="A362" s="3866"/>
      <c r="B362" s="3867"/>
      <c r="C362" s="3867"/>
      <c r="D362" s="3867"/>
      <c r="E362" s="3867"/>
      <c r="F362" s="3867"/>
      <c r="G362" s="3867"/>
      <c r="H362" s="3867"/>
      <c r="I362" s="3867"/>
      <c r="J362" s="3867"/>
      <c r="K362" s="3867"/>
      <c r="L362" s="3867"/>
      <c r="M362" s="3867"/>
      <c r="N362" s="3867"/>
      <c r="O362" s="3867"/>
      <c r="P362" s="3868"/>
      <c r="Q362" s="2209"/>
      <c r="R362" s="2209"/>
    </row>
    <row r="363" spans="1:18" ht="9" customHeight="1">
      <c r="A363" s="2337"/>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8"/>
      <c r="B364" s="2263"/>
      <c r="C364" s="2299"/>
      <c r="D364" s="2299"/>
      <c r="E364" s="2299"/>
      <c r="F364" s="2299"/>
      <c r="G364" s="2299"/>
      <c r="H364" s="2299"/>
      <c r="I364" s="2299"/>
      <c r="J364" s="2299"/>
      <c r="K364" s="2299"/>
      <c r="L364" s="2299"/>
      <c r="M364" s="2299"/>
      <c r="N364" s="2300"/>
      <c r="O364" s="2301"/>
      <c r="P364" s="2265"/>
    </row>
    <row r="365" spans="1:18" s="2121" customFormat="1" ht="15.95" customHeight="1" thickBot="1">
      <c r="A365" s="2337" t="s">
        <v>6555</v>
      </c>
      <c r="B365" s="2143" t="s">
        <v>6611</v>
      </c>
      <c r="D365" s="2143"/>
      <c r="G365" s="2281"/>
      <c r="L365" s="2447"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4"/>
    </row>
    <row r="366" spans="1:18" ht="15.95" customHeight="1">
      <c r="A366" s="2124" t="s">
        <v>1841</v>
      </c>
      <c r="B366" s="2131" t="s">
        <v>6132</v>
      </c>
      <c r="E366" s="2227"/>
      <c r="F366" s="2121"/>
      <c r="G366" s="2121"/>
      <c r="H366" s="2121"/>
      <c r="K366" s="2123"/>
      <c r="L366" s="2230"/>
      <c r="M366" s="2123">
        <v>6</v>
      </c>
      <c r="N366" s="2389"/>
      <c r="O366" s="2393"/>
      <c r="P366" s="2394"/>
      <c r="Q366" s="2319" t="str">
        <f>IF(OR($O366&lt;=$M366,$O366=0,$O366=""),"","*CHECK!*")</f>
        <v/>
      </c>
      <c r="R366" s="2304"/>
    </row>
    <row r="367" spans="1:18" s="2157" customFormat="1" ht="15.95" customHeight="1">
      <c r="A367" s="2350" t="s">
        <v>1843</v>
      </c>
      <c r="B367" s="2288" t="s">
        <v>6133</v>
      </c>
      <c r="C367" s="2158"/>
      <c r="D367" s="2158"/>
      <c r="E367" s="2158"/>
      <c r="F367" s="2158"/>
      <c r="H367" s="2158"/>
      <c r="I367" s="2158"/>
      <c r="J367" s="2255"/>
      <c r="K367" s="2255"/>
      <c r="L367" s="2255"/>
      <c r="M367" s="2123">
        <v>4</v>
      </c>
      <c r="N367" s="2389"/>
      <c r="O367" s="2243"/>
      <c r="P367" s="2244"/>
      <c r="Q367" s="2319" t="str">
        <f>IF(OR($O367&lt;=$M367,$O367=0,$O367=""),"","*CHECK!*")</f>
        <v/>
      </c>
      <c r="R367" s="2304"/>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930" t="s">
        <v>7091</v>
      </c>
      <c r="B369" s="3931"/>
      <c r="C369" s="3931"/>
      <c r="D369" s="3931"/>
      <c r="E369" s="3931"/>
      <c r="F369" s="3931"/>
      <c r="G369" s="3931"/>
      <c r="H369" s="3931"/>
      <c r="I369" s="3931"/>
      <c r="J369" s="3931"/>
      <c r="K369" s="3931"/>
      <c r="L369" s="3931"/>
      <c r="M369" s="3931"/>
      <c r="N369" s="3931"/>
      <c r="O369" s="3931"/>
      <c r="P369" s="3932"/>
      <c r="Q369" s="2209"/>
      <c r="R369" s="2209"/>
    </row>
    <row r="370" spans="1:18" s="2121" customFormat="1" ht="15.95" customHeight="1" thickTop="1">
      <c r="A370" s="2141"/>
      <c r="B370" s="2141" t="s">
        <v>1730</v>
      </c>
      <c r="D370" s="2141"/>
      <c r="E370" s="2298"/>
      <c r="F370" s="2298"/>
      <c r="G370" s="2298"/>
      <c r="H370" s="2298"/>
      <c r="I370" s="2298"/>
      <c r="J370" s="2298"/>
      <c r="K370" s="2298"/>
      <c r="L370" s="2298"/>
      <c r="M370" s="2298"/>
      <c r="N370" s="2268"/>
      <c r="O370" s="2125"/>
      <c r="P370" s="2124"/>
    </row>
    <row r="371" spans="1:18" ht="15.95" customHeight="1">
      <c r="A371" s="3866"/>
      <c r="B371" s="3867"/>
      <c r="C371" s="3867"/>
      <c r="D371" s="3867"/>
      <c r="E371" s="3867"/>
      <c r="F371" s="3867"/>
      <c r="G371" s="3867"/>
      <c r="H371" s="3867"/>
      <c r="I371" s="3867"/>
      <c r="J371" s="3867"/>
      <c r="K371" s="3867"/>
      <c r="L371" s="3867"/>
      <c r="M371" s="3867"/>
      <c r="N371" s="3867"/>
      <c r="O371" s="3867"/>
      <c r="P371" s="3868"/>
      <c r="Q371" s="2209"/>
      <c r="R371" s="2209"/>
    </row>
    <row r="372" spans="1:18" ht="9" customHeight="1">
      <c r="A372" s="2337"/>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8"/>
      <c r="B373" s="2263"/>
      <c r="C373" s="2299"/>
      <c r="D373" s="2299"/>
      <c r="E373" s="2299"/>
      <c r="F373" s="2299"/>
      <c r="G373" s="2299"/>
      <c r="H373" s="2299"/>
      <c r="I373" s="2299"/>
      <c r="J373" s="2299"/>
      <c r="K373" s="2299"/>
      <c r="L373" s="2299"/>
      <c r="M373" s="2299"/>
      <c r="N373" s="2300"/>
      <c r="O373" s="2301"/>
      <c r="P373" s="2265"/>
    </row>
    <row r="374" spans="1:18" s="2121" customFormat="1" ht="15.95" customHeight="1" thickBot="1">
      <c r="A374" s="2337" t="s">
        <v>6916</v>
      </c>
      <c r="B374" s="2143" t="s">
        <v>6917</v>
      </c>
      <c r="D374" s="2143"/>
      <c r="G374" s="2281"/>
      <c r="L374" s="2319" t="str">
        <f>IF(OR($O374&lt;=$M374,$O374=0,$O374=""),"","*CHECK!*")</f>
        <v/>
      </c>
      <c r="M374" s="2124">
        <v>16</v>
      </c>
      <c r="N374" s="2123"/>
      <c r="O374" s="2202">
        <f>IF(AND($F$36="Preservation",$O$36="4%"),IF(SUM(O375:O387)&gt;$M374,"Check",SUM(O375:O387)),0)</f>
        <v>0</v>
      </c>
      <c r="P374" s="2202">
        <f>IF(AND($F$36="Preservation",$O$36="4%"),IF(SUM(P375:P387)&gt;$M374,"Check",SUM(P375:P387)),0)</f>
        <v>0</v>
      </c>
      <c r="Q374" s="2203" t="s">
        <v>416</v>
      </c>
      <c r="R374" s="2304"/>
    </row>
    <row r="375" spans="1:18" ht="15.95" customHeight="1">
      <c r="A375" s="2124" t="s">
        <v>1841</v>
      </c>
      <c r="B375" s="2131" t="s">
        <v>6918</v>
      </c>
      <c r="F375" s="2121"/>
      <c r="G375" s="2121"/>
      <c r="H375" s="2121"/>
      <c r="K375" s="2123"/>
      <c r="L375" s="2230"/>
      <c r="M375" s="2123">
        <v>10</v>
      </c>
      <c r="N375" s="2389"/>
      <c r="O375" s="2448"/>
      <c r="P375" s="2449"/>
      <c r="Q375" s="2319" t="str">
        <f>IF(OR($O375&lt;=$M375,$O375=0,$O375=""),"","*CHECK!*")</f>
        <v/>
      </c>
      <c r="R375" s="2304"/>
    </row>
    <row r="376" spans="1:18" ht="15.95" customHeight="1">
      <c r="A376" s="2124"/>
      <c r="B376" s="2120" t="s">
        <v>1133</v>
      </c>
      <c r="D376" s="2120" t="s">
        <v>6930</v>
      </c>
      <c r="E376" s="2121"/>
      <c r="F376" s="2121"/>
      <c r="G376" s="2121" t="s">
        <v>6222</v>
      </c>
      <c r="H376" s="2121"/>
      <c r="I376" s="2121"/>
      <c r="J376" s="2121" t="s">
        <v>575</v>
      </c>
      <c r="L376" s="2139" t="s">
        <v>6931</v>
      </c>
      <c r="M376" s="3890" t="s">
        <v>6941</v>
      </c>
      <c r="N376" s="3890"/>
      <c r="O376" s="3890"/>
      <c r="P376" s="3890"/>
      <c r="Q376" s="2319"/>
    </row>
    <row r="377" spans="1:18" ht="15.95" customHeight="1">
      <c r="A377" s="2121">
        <v>1</v>
      </c>
      <c r="B377" s="4079"/>
      <c r="C377" s="4079"/>
      <c r="D377" s="4079"/>
      <c r="E377" s="4079"/>
      <c r="F377" s="4079"/>
      <c r="G377" s="4079"/>
      <c r="H377" s="4079"/>
      <c r="I377" s="4079"/>
      <c r="J377" s="4079"/>
      <c r="K377" s="4079"/>
      <c r="L377" s="2450"/>
      <c r="M377" s="4098"/>
      <c r="N377" s="4099"/>
      <c r="O377" s="4099"/>
      <c r="P377" s="4100"/>
      <c r="Q377" s="2319"/>
    </row>
    <row r="378" spans="1:18" ht="15.95" customHeight="1">
      <c r="A378" s="2121">
        <v>2</v>
      </c>
      <c r="B378" s="3844"/>
      <c r="C378" s="3844"/>
      <c r="D378" s="3844"/>
      <c r="E378" s="3844"/>
      <c r="F378" s="3844"/>
      <c r="G378" s="3844"/>
      <c r="H378" s="3844"/>
      <c r="I378" s="3844"/>
      <c r="J378" s="3844"/>
      <c r="K378" s="3844"/>
      <c r="L378" s="2451"/>
      <c r="M378" s="4088"/>
      <c r="N378" s="4089"/>
      <c r="O378" s="4089"/>
      <c r="P378" s="4090"/>
      <c r="Q378" s="2319"/>
    </row>
    <row r="379" spans="1:18" ht="15.95" customHeight="1">
      <c r="A379" s="2121">
        <v>3</v>
      </c>
      <c r="B379" s="3844"/>
      <c r="C379" s="3844"/>
      <c r="D379" s="3844"/>
      <c r="E379" s="3844"/>
      <c r="F379" s="3844"/>
      <c r="G379" s="3844"/>
      <c r="H379" s="3844"/>
      <c r="I379" s="3844"/>
      <c r="J379" s="3844"/>
      <c r="K379" s="3844"/>
      <c r="L379" s="2451"/>
      <c r="M379" s="4088"/>
      <c r="N379" s="4089"/>
      <c r="O379" s="4089"/>
      <c r="P379" s="4090"/>
      <c r="Q379" s="2319"/>
    </row>
    <row r="380" spans="1:18" ht="15.95" customHeight="1">
      <c r="A380" s="2121">
        <v>4</v>
      </c>
      <c r="B380" s="3844"/>
      <c r="C380" s="3844"/>
      <c r="D380" s="3844"/>
      <c r="E380" s="3844"/>
      <c r="F380" s="3844"/>
      <c r="G380" s="3844"/>
      <c r="H380" s="3844"/>
      <c r="I380" s="3844"/>
      <c r="J380" s="3844"/>
      <c r="K380" s="3844"/>
      <c r="L380" s="2451"/>
      <c r="M380" s="4088"/>
      <c r="N380" s="4089"/>
      <c r="O380" s="4089"/>
      <c r="P380" s="4090"/>
      <c r="Q380" s="2319"/>
    </row>
    <row r="381" spans="1:18" ht="15.95" customHeight="1">
      <c r="A381" s="2121">
        <v>5</v>
      </c>
      <c r="B381" s="3844"/>
      <c r="C381" s="3844"/>
      <c r="D381" s="3844"/>
      <c r="E381" s="3844"/>
      <c r="F381" s="3844"/>
      <c r="G381" s="3844"/>
      <c r="H381" s="3844"/>
      <c r="I381" s="3844"/>
      <c r="J381" s="3844"/>
      <c r="K381" s="3844"/>
      <c r="L381" s="2451"/>
      <c r="M381" s="4088"/>
      <c r="N381" s="4089"/>
      <c r="O381" s="4089"/>
      <c r="P381" s="4090"/>
      <c r="Q381" s="2319"/>
    </row>
    <row r="382" spans="1:18" ht="15.95" customHeight="1">
      <c r="A382" s="2121">
        <v>6</v>
      </c>
      <c r="B382" s="3844"/>
      <c r="C382" s="3844"/>
      <c r="D382" s="3844"/>
      <c r="E382" s="3844"/>
      <c r="F382" s="3844"/>
      <c r="G382" s="3844"/>
      <c r="H382" s="3844"/>
      <c r="I382" s="3844"/>
      <c r="J382" s="3844"/>
      <c r="K382" s="3844"/>
      <c r="L382" s="2451"/>
      <c r="M382" s="4088"/>
      <c r="N382" s="4089"/>
      <c r="O382" s="4089"/>
      <c r="P382" s="4090"/>
      <c r="Q382" s="2319"/>
    </row>
    <row r="383" spans="1:18" ht="15.95" customHeight="1">
      <c r="A383" s="2121">
        <v>7</v>
      </c>
      <c r="B383" s="3844"/>
      <c r="C383" s="3844"/>
      <c r="D383" s="3844"/>
      <c r="E383" s="3844"/>
      <c r="F383" s="3844"/>
      <c r="G383" s="3844"/>
      <c r="H383" s="3844"/>
      <c r="I383" s="3844"/>
      <c r="J383" s="3844"/>
      <c r="K383" s="3844"/>
      <c r="L383" s="2451"/>
      <c r="M383" s="4088"/>
      <c r="N383" s="4089"/>
      <c r="O383" s="4089"/>
      <c r="P383" s="4090"/>
      <c r="Q383" s="2319"/>
    </row>
    <row r="384" spans="1:18" ht="15.95" customHeight="1">
      <c r="A384" s="2121">
        <v>8</v>
      </c>
      <c r="B384" s="3844"/>
      <c r="C384" s="3844"/>
      <c r="D384" s="3844"/>
      <c r="E384" s="3844"/>
      <c r="F384" s="3844"/>
      <c r="G384" s="3844"/>
      <c r="H384" s="3844"/>
      <c r="I384" s="3844"/>
      <c r="J384" s="3844"/>
      <c r="K384" s="3844"/>
      <c r="L384" s="2451"/>
      <c r="M384" s="4088"/>
      <c r="N384" s="4089"/>
      <c r="O384" s="4089"/>
      <c r="P384" s="4090"/>
      <c r="Q384" s="2319"/>
    </row>
    <row r="385" spans="1:19" ht="14.25">
      <c r="A385" s="2120">
        <v>9</v>
      </c>
      <c r="B385" s="3844"/>
      <c r="C385" s="3844"/>
      <c r="D385" s="3844"/>
      <c r="E385" s="3844"/>
      <c r="F385" s="3844"/>
      <c r="G385" s="3844"/>
      <c r="H385" s="3844"/>
      <c r="I385" s="3844"/>
      <c r="J385" s="3844"/>
      <c r="K385" s="3844"/>
      <c r="L385" s="2451"/>
      <c r="M385" s="4088"/>
      <c r="N385" s="4089"/>
      <c r="O385" s="4089"/>
      <c r="P385" s="4090"/>
    </row>
    <row r="386" spans="1:19" ht="15.95" customHeight="1">
      <c r="A386" s="2121">
        <v>10</v>
      </c>
      <c r="B386" s="3845"/>
      <c r="C386" s="3845"/>
      <c r="D386" s="3845"/>
      <c r="E386" s="3845"/>
      <c r="F386" s="3845"/>
      <c r="G386" s="3845"/>
      <c r="H386" s="3845"/>
      <c r="I386" s="3845"/>
      <c r="J386" s="3845"/>
      <c r="K386" s="3845"/>
      <c r="L386" s="2452"/>
      <c r="M386" s="4085"/>
      <c r="N386" s="4086"/>
      <c r="O386" s="4086"/>
      <c r="P386" s="4087"/>
      <c r="Q386" s="2319"/>
    </row>
    <row r="387" spans="1:19" s="2157" customFormat="1" ht="15.95" customHeight="1">
      <c r="A387" s="2350" t="s">
        <v>1843</v>
      </c>
      <c r="B387" s="2288" t="s">
        <v>6919</v>
      </c>
      <c r="C387" s="2158"/>
      <c r="D387" s="2158"/>
      <c r="E387" s="2158"/>
      <c r="F387" s="2158"/>
      <c r="H387" s="2158"/>
      <c r="I387" s="2158"/>
      <c r="J387" s="2255"/>
      <c r="K387" s="2255"/>
      <c r="L387" s="2255"/>
      <c r="M387" s="2123">
        <v>6</v>
      </c>
      <c r="N387" s="2389"/>
      <c r="O387" s="2457"/>
      <c r="P387" s="2458"/>
      <c r="Q387" s="2319"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930" t="s">
        <v>7091</v>
      </c>
      <c r="B389" s="3931"/>
      <c r="C389" s="3931"/>
      <c r="D389" s="3931"/>
      <c r="E389" s="3931"/>
      <c r="F389" s="3931"/>
      <c r="G389" s="3931"/>
      <c r="H389" s="3931"/>
      <c r="I389" s="3931"/>
      <c r="J389" s="3931"/>
      <c r="K389" s="3931"/>
      <c r="L389" s="3931"/>
      <c r="M389" s="3931"/>
      <c r="N389" s="3931"/>
      <c r="O389" s="3931"/>
      <c r="P389" s="3932"/>
      <c r="Q389" s="2209"/>
      <c r="R389" s="2209"/>
    </row>
    <row r="390" spans="1:19" s="2121" customFormat="1" ht="15.95" customHeight="1" thickTop="1">
      <c r="A390" s="2141"/>
      <c r="B390" s="2141" t="s">
        <v>1730</v>
      </c>
      <c r="D390" s="2141"/>
      <c r="E390" s="2298"/>
      <c r="F390" s="2298"/>
      <c r="G390" s="2298"/>
      <c r="H390" s="2298"/>
      <c r="I390" s="2298"/>
      <c r="J390" s="2298"/>
      <c r="K390" s="2298"/>
      <c r="L390" s="2298"/>
      <c r="M390" s="2298"/>
      <c r="N390" s="2268"/>
      <c r="O390" s="2125"/>
      <c r="P390" s="2124"/>
    </row>
    <row r="391" spans="1:19" ht="15.95" customHeight="1">
      <c r="A391" s="3866"/>
      <c r="B391" s="3867"/>
      <c r="C391" s="3867"/>
      <c r="D391" s="3867"/>
      <c r="E391" s="3867"/>
      <c r="F391" s="3867"/>
      <c r="G391" s="3867"/>
      <c r="H391" s="3867"/>
      <c r="I391" s="3867"/>
      <c r="J391" s="3867"/>
      <c r="K391" s="3867"/>
      <c r="L391" s="3867"/>
      <c r="M391" s="3867"/>
      <c r="N391" s="3867"/>
      <c r="O391" s="3867"/>
      <c r="P391" s="3868"/>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299"/>
      <c r="D393" s="2299"/>
      <c r="E393" s="2299"/>
      <c r="F393" s="2299"/>
      <c r="G393" s="2299"/>
      <c r="H393" s="2299"/>
      <c r="I393" s="2299"/>
      <c r="J393" s="2299"/>
      <c r="K393" s="2299"/>
      <c r="L393" s="2299"/>
      <c r="M393" s="2299"/>
      <c r="N393" s="2300"/>
      <c r="O393" s="2301"/>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4" t="str">
        <f>IF(AND(O394&gt;0,NOT($F$36="New Supply")), "Ineligible to score in this section, not New Supply!","")</f>
        <v/>
      </c>
    </row>
    <row r="395" spans="1:19" s="2157" customFormat="1" ht="15.95" customHeight="1">
      <c r="A395" s="2211" t="s">
        <v>1841</v>
      </c>
      <c r="B395" s="2131" t="s">
        <v>6923</v>
      </c>
      <c r="Q395" s="2319" t="str">
        <f>IF(OR($O395=$M395,$O395=0,$O395=""),"","*CHECK!*")</f>
        <v/>
      </c>
      <c r="R395" s="2304"/>
    </row>
    <row r="396" spans="1:19" ht="147" customHeight="1">
      <c r="A396" s="2344"/>
      <c r="B396" s="4028" t="s">
        <v>2813</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5" customHeight="1">
      <c r="A397" s="2384" t="s">
        <v>1843</v>
      </c>
      <c r="B397" s="2288" t="s">
        <v>6924</v>
      </c>
      <c r="Q397" s="2319" t="str">
        <f>IF(OR($O397=$M397,$O397=0,$O397=""),"","*CHECK!*")</f>
        <v/>
      </c>
      <c r="R397" s="2304"/>
    </row>
    <row r="398" spans="1:19" ht="147" customHeight="1">
      <c r="A398" s="2344"/>
      <c r="B398" s="4028" t="s">
        <v>2813</v>
      </c>
      <c r="C398" s="4029"/>
      <c r="D398" s="4029"/>
      <c r="E398" s="4029"/>
      <c r="F398" s="4029"/>
      <c r="G398" s="4029"/>
      <c r="H398" s="4029"/>
      <c r="I398" s="4029"/>
      <c r="J398" s="4029"/>
      <c r="K398" s="4029"/>
      <c r="L398" s="4029"/>
      <c r="M398" s="4029"/>
      <c r="N398" s="4029"/>
      <c r="O398" s="4029"/>
      <c r="P398" s="4030"/>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930" t="s">
        <v>7091</v>
      </c>
      <c r="B400" s="3931"/>
      <c r="C400" s="3931"/>
      <c r="D400" s="3931"/>
      <c r="E400" s="3931"/>
      <c r="F400" s="3931"/>
      <c r="G400" s="3931"/>
      <c r="H400" s="3931"/>
      <c r="I400" s="3931"/>
      <c r="J400" s="3931"/>
      <c r="K400" s="3931"/>
      <c r="L400" s="3931"/>
      <c r="M400" s="3931"/>
      <c r="N400" s="3931"/>
      <c r="O400" s="3931"/>
      <c r="P400" s="3932"/>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6"/>
      <c r="B402" s="3867"/>
      <c r="C402" s="3867"/>
      <c r="D402" s="3867"/>
      <c r="E402" s="3867"/>
      <c r="F402" s="3867"/>
      <c r="G402" s="3867"/>
      <c r="H402" s="3867"/>
      <c r="I402" s="3867"/>
      <c r="J402" s="3867"/>
      <c r="K402" s="3867"/>
      <c r="L402" s="3867"/>
      <c r="M402" s="3867"/>
      <c r="N402" s="3867"/>
      <c r="O402" s="3867"/>
      <c r="P402" s="3868"/>
      <c r="Q402" s="2252"/>
    </row>
    <row r="403" spans="1:66" ht="15.95" customHeight="1" thickBot="1">
      <c r="Q403" s="4063" t="s">
        <v>6947</v>
      </c>
      <c r="R403" s="4063"/>
      <c r="S403" s="4063"/>
      <c r="T403" s="4063"/>
      <c r="U403" s="4063"/>
      <c r="V403" s="4063"/>
      <c r="W403" s="4063"/>
      <c r="X403" s="4063"/>
      <c r="Y403" s="4063"/>
      <c r="Z403" s="4063"/>
      <c r="AA403" s="4063"/>
    </row>
    <row r="404" spans="1:66" s="2121" customFormat="1" ht="15.95" customHeight="1" thickTop="1" thickBot="1">
      <c r="A404" s="2131" t="s">
        <v>402</v>
      </c>
      <c r="B404" s="2120"/>
      <c r="D404" s="2120"/>
      <c r="E404" s="2120"/>
      <c r="F404" s="2120"/>
      <c r="M404" s="2395">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73.5</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6871</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15" customHeight="1">
      <c r="A408" s="4028"/>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6"/>
      <c r="C409" s="2396" t="s">
        <v>1939</v>
      </c>
      <c r="D409" s="2396"/>
      <c r="E409" s="2396"/>
      <c r="F409" s="2396"/>
      <c r="G409" s="2396"/>
      <c r="H409" s="2396"/>
      <c r="I409" s="2396"/>
      <c r="J409" s="2397" t="s">
        <v>1537</v>
      </c>
      <c r="K409" s="2396"/>
      <c r="L409" s="2396"/>
      <c r="M409" s="2396"/>
      <c r="N409" s="2341"/>
      <c r="O409" s="2398"/>
      <c r="P409" s="2398"/>
      <c r="Q409" s="2437"/>
      <c r="R409" s="2437"/>
      <c r="S409" s="2437"/>
      <c r="T409" s="2255"/>
      <c r="U409" s="2255"/>
      <c r="V409" s="2255"/>
      <c r="W409" s="2255"/>
      <c r="X409" s="2255"/>
      <c r="Y409" s="2255"/>
    </row>
    <row r="410" spans="1:66">
      <c r="B410" s="2396"/>
      <c r="C410" s="2396" t="s">
        <v>1940</v>
      </c>
      <c r="D410" s="2396"/>
      <c r="E410" s="2396"/>
      <c r="F410" s="2396"/>
      <c r="G410" s="2396"/>
      <c r="H410" s="2396"/>
      <c r="I410" s="2396"/>
      <c r="J410" s="2397" t="s">
        <v>1538</v>
      </c>
      <c r="K410" s="2396"/>
      <c r="L410" s="2396"/>
      <c r="M410" s="2396"/>
      <c r="N410" s="2341"/>
      <c r="O410" s="2398"/>
      <c r="P410" s="2398"/>
      <c r="Q410" s="2396"/>
      <c r="R410" s="2396"/>
      <c r="S410" s="2396"/>
    </row>
    <row r="411" spans="1:66">
      <c r="B411" s="2396"/>
      <c r="C411" s="2396" t="s">
        <v>1941</v>
      </c>
      <c r="D411" s="2396"/>
      <c r="E411" s="2396"/>
      <c r="F411" s="2396"/>
      <c r="G411" s="2396"/>
      <c r="H411" s="2396"/>
      <c r="I411" s="2396"/>
      <c r="J411" s="2397" t="s">
        <v>2306</v>
      </c>
      <c r="K411" s="2396"/>
      <c r="L411" s="2396"/>
      <c r="M411" s="2396"/>
      <c r="N411" s="2341"/>
      <c r="O411" s="2398"/>
      <c r="P411" s="2398"/>
      <c r="Q411" s="2396"/>
      <c r="R411" s="2396"/>
      <c r="S411" s="2396"/>
    </row>
    <row r="412" spans="1:66">
      <c r="B412" s="2396"/>
      <c r="C412" s="2396" t="s">
        <v>1942</v>
      </c>
      <c r="D412" s="2396"/>
      <c r="E412" s="2396"/>
      <c r="F412" s="2396"/>
      <c r="G412" s="2396"/>
      <c r="H412" s="2396"/>
      <c r="I412" s="2396"/>
      <c r="J412" s="2397" t="s">
        <v>1539</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1540</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1646</v>
      </c>
      <c r="D414" s="2396"/>
      <c r="E414" s="2396"/>
      <c r="F414" s="2396"/>
      <c r="G414" s="2396"/>
      <c r="H414" s="2396"/>
      <c r="I414" s="2396"/>
      <c r="J414" s="2397" t="s">
        <v>1541</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5.75" thickBot="1">
      <c r="B415" s="2396"/>
      <c r="C415" s="2399" t="s">
        <v>1312</v>
      </c>
      <c r="D415" s="2396"/>
      <c r="E415" s="2396"/>
      <c r="F415" s="2396"/>
      <c r="G415" s="2396"/>
      <c r="H415" s="2396"/>
      <c r="I415" s="2396"/>
      <c r="J415" s="2397" t="s">
        <v>1542</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9"/>
      <c r="AV415" s="2199"/>
      <c r="AW415" s="2199"/>
      <c r="AX415" s="2199"/>
      <c r="AY415" s="2199"/>
      <c r="AZ415" s="2199"/>
      <c r="BA415" s="2199"/>
      <c r="BB415" s="4084" t="s">
        <v>6562</v>
      </c>
      <c r="BC415" s="4084"/>
      <c r="BD415" s="4084"/>
      <c r="BE415" s="4084"/>
      <c r="BF415" s="4084"/>
      <c r="BG415" s="4084"/>
      <c r="BH415" s="4084"/>
      <c r="BI415" s="4084"/>
      <c r="BJ415" s="2199"/>
      <c r="BK415" s="2199"/>
      <c r="BL415" s="2199"/>
      <c r="BM415" s="2396"/>
      <c r="BN415" s="2396"/>
    </row>
    <row r="416" spans="1:66" ht="15.75" thickBot="1">
      <c r="B416" s="2396"/>
      <c r="C416" s="2399" t="s">
        <v>1313</v>
      </c>
      <c r="D416" s="2396"/>
      <c r="E416" s="2396"/>
      <c r="F416" s="2396"/>
      <c r="G416" s="2396"/>
      <c r="H416" s="2396"/>
      <c r="I416" s="2396"/>
      <c r="J416" s="2397" t="s">
        <v>1543</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9"/>
      <c r="AV416" s="2199"/>
      <c r="AW416" s="2199"/>
      <c r="AX416" s="2199"/>
      <c r="AY416" s="4080" t="s">
        <v>6563</v>
      </c>
      <c r="AZ416" s="4081"/>
      <c r="BA416" s="4081"/>
      <c r="BB416" s="4081"/>
      <c r="BC416" s="4081"/>
      <c r="BD416" s="4081"/>
      <c r="BE416" s="4082"/>
      <c r="BF416" s="4080" t="s">
        <v>6564</v>
      </c>
      <c r="BG416" s="4081"/>
      <c r="BH416" s="4081"/>
      <c r="BI416" s="4081"/>
      <c r="BJ416" s="4081"/>
      <c r="BK416" s="4081"/>
      <c r="BL416" s="4082"/>
      <c r="BM416" s="2396"/>
      <c r="BN416" s="2396"/>
    </row>
    <row r="417" spans="2:66">
      <c r="B417" s="2396"/>
      <c r="C417" s="2399" t="s">
        <v>1980</v>
      </c>
      <c r="D417" s="2396"/>
      <c r="E417" s="2396"/>
      <c r="F417" s="2396"/>
      <c r="G417" s="2396"/>
      <c r="H417" s="2396"/>
      <c r="I417" s="2396"/>
      <c r="J417" s="2397" t="s">
        <v>1544</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1309</v>
      </c>
      <c r="D418" s="2396"/>
      <c r="E418" s="2396"/>
      <c r="F418" s="2396"/>
      <c r="G418" s="2396"/>
      <c r="H418" s="2396"/>
      <c r="I418" s="2396"/>
      <c r="J418" s="2397" t="s">
        <v>549</v>
      </c>
      <c r="K418" s="2396"/>
      <c r="L418" s="2396"/>
      <c r="M418" s="2396"/>
      <c r="N418" s="2341"/>
      <c r="O418" s="2398"/>
      <c r="P418" s="2398"/>
      <c r="Q418" s="2396"/>
      <c r="R418" s="2396"/>
      <c r="S418" s="2396"/>
      <c r="AA418" s="2463" t="s">
        <v>689</v>
      </c>
      <c r="AB418" s="2464" t="s">
        <v>6136</v>
      </c>
      <c r="AC418" s="2199"/>
      <c r="AD418" s="2396"/>
      <c r="AE418" s="2396"/>
      <c r="AF418" s="2396"/>
      <c r="AG418" s="3927" t="s">
        <v>6124</v>
      </c>
      <c r="AH418" s="3928"/>
      <c r="AI418" s="3915" t="s">
        <v>6505</v>
      </c>
      <c r="AJ418" s="3916"/>
      <c r="AK418" s="3916"/>
      <c r="AL418" s="3916"/>
      <c r="AM418" s="3917"/>
      <c r="AN418" s="3929" t="s">
        <v>6137</v>
      </c>
      <c r="AO418" s="3929"/>
      <c r="AP418" s="3929"/>
      <c r="AQ418" s="3929"/>
      <c r="AR418" s="2396"/>
      <c r="AS418" s="2465"/>
      <c r="AT418" s="2464" t="s">
        <v>6136</v>
      </c>
      <c r="AU418" s="2465"/>
      <c r="AV418" s="2465"/>
      <c r="AW418" s="2465"/>
      <c r="AX418" s="2396"/>
      <c r="AY418" s="3915" t="s">
        <v>6124</v>
      </c>
      <c r="AZ418" s="3917"/>
      <c r="BA418" s="3915" t="s">
        <v>6505</v>
      </c>
      <c r="BB418" s="3916"/>
      <c r="BC418" s="3916"/>
      <c r="BD418" s="3916"/>
      <c r="BE418" s="3917"/>
      <c r="BF418" s="4083" t="s">
        <v>6124</v>
      </c>
      <c r="BG418" s="4083"/>
      <c r="BH418" s="4083" t="s">
        <v>6505</v>
      </c>
      <c r="BI418" s="4083"/>
      <c r="BJ418" s="4083"/>
      <c r="BK418" s="4083"/>
      <c r="BL418" s="4083"/>
      <c r="BM418" s="2396"/>
      <c r="BN418" s="2396"/>
    </row>
    <row r="419" spans="2:66" ht="28.5">
      <c r="B419" s="2396"/>
      <c r="C419" s="2399" t="s">
        <v>1310</v>
      </c>
      <c r="D419" s="2396"/>
      <c r="E419" s="2396"/>
      <c r="F419" s="2396"/>
      <c r="G419" s="2396"/>
      <c r="H419" s="2396"/>
      <c r="I419" s="2396"/>
      <c r="J419" s="2397" t="s">
        <v>1545</v>
      </c>
      <c r="K419" s="2396"/>
      <c r="L419" s="2396"/>
      <c r="M419" s="2396"/>
      <c r="N419" s="2341"/>
      <c r="O419" s="2398"/>
      <c r="P419" s="2398"/>
      <c r="Q419" s="2396"/>
      <c r="R419" s="2396"/>
      <c r="S419" s="2396"/>
      <c r="AA419" s="2396"/>
      <c r="AB419" s="2199"/>
      <c r="AC419" s="2396"/>
      <c r="AD419" s="2396"/>
      <c r="AE419" s="2396"/>
      <c r="AF419" s="2396"/>
      <c r="AG419" s="2466">
        <v>0.09</v>
      </c>
      <c r="AH419" s="2466" t="s">
        <v>6943</v>
      </c>
      <c r="AI419" s="2466" t="s">
        <v>6943</v>
      </c>
      <c r="AJ419" s="2466" t="s">
        <v>6913</v>
      </c>
      <c r="AK419" s="2466" t="s">
        <v>6545</v>
      </c>
      <c r="AL419" s="2466" t="s">
        <v>6546</v>
      </c>
      <c r="AM419" s="2466" t="s">
        <v>6547</v>
      </c>
      <c r="AN419" s="3915" t="str">
        <f>'Part I-Project Identification'!F12</f>
        <v>9% Credit Competitive Round only</v>
      </c>
      <c r="AO419" s="3916"/>
      <c r="AP419" s="3916"/>
      <c r="AQ419" s="3917"/>
      <c r="AR419" s="2396"/>
      <c r="AS419" s="2396"/>
      <c r="AT419" s="2199"/>
      <c r="AU419" s="2396"/>
      <c r="AV419" s="2396"/>
      <c r="AW419" s="2396"/>
      <c r="AX419" s="2396"/>
      <c r="AY419" s="2466">
        <v>0.09</v>
      </c>
      <c r="AZ419" s="2466" t="s">
        <v>6943</v>
      </c>
      <c r="BA419" s="2466" t="s">
        <v>6943</v>
      </c>
      <c r="BB419" s="2466" t="s">
        <v>6927</v>
      </c>
      <c r="BC419" s="2466" t="s">
        <v>6545</v>
      </c>
      <c r="BD419" s="2466" t="s">
        <v>6546</v>
      </c>
      <c r="BE419" s="2466" t="s">
        <v>6547</v>
      </c>
      <c r="BF419" s="2466">
        <v>0.09</v>
      </c>
      <c r="BG419" s="2466" t="s">
        <v>6943</v>
      </c>
      <c r="BH419" s="2466" t="s">
        <v>6943</v>
      </c>
      <c r="BI419" s="2466" t="s">
        <v>6927</v>
      </c>
      <c r="BJ419" s="2466" t="s">
        <v>6545</v>
      </c>
      <c r="BK419" s="2466" t="s">
        <v>6546</v>
      </c>
      <c r="BL419" s="2466" t="s">
        <v>6547</v>
      </c>
      <c r="BM419" s="2396"/>
      <c r="BN419" s="2396"/>
    </row>
    <row r="420" spans="2:66">
      <c r="B420" s="2396"/>
      <c r="C420" s="2399" t="s">
        <v>1975</v>
      </c>
      <c r="D420" s="2396"/>
      <c r="E420" s="2396"/>
      <c r="F420" s="2396"/>
      <c r="G420" s="2396"/>
      <c r="H420" s="2396"/>
      <c r="I420" s="2396"/>
      <c r="J420" s="2397" t="s">
        <v>1546</v>
      </c>
      <c r="K420" s="2396"/>
      <c r="L420" s="2396"/>
      <c r="M420" s="2396"/>
      <c r="N420" s="2341"/>
      <c r="O420" s="2398"/>
      <c r="P420" s="2398"/>
      <c r="Q420" s="2396"/>
      <c r="R420" s="2396"/>
      <c r="S420" s="2396"/>
      <c r="AA420" s="2467" t="s">
        <v>573</v>
      </c>
      <c r="AB420" s="2468" t="s">
        <v>6751</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573</v>
      </c>
      <c r="AT420" s="2468" t="s">
        <v>6751</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1976</v>
      </c>
      <c r="D421" s="2396"/>
      <c r="E421" s="2396"/>
      <c r="F421" s="2396"/>
      <c r="G421" s="2396"/>
      <c r="H421" s="2396"/>
      <c r="I421" s="2396"/>
      <c r="J421" s="2397" t="s">
        <v>1547</v>
      </c>
      <c r="K421" s="2396"/>
      <c r="L421" s="2396"/>
      <c r="M421" s="2396"/>
      <c r="N421" s="2341"/>
      <c r="O421" s="2398"/>
      <c r="P421" s="2398"/>
      <c r="Q421" s="2396"/>
      <c r="R421" s="2396"/>
      <c r="S421" s="2396"/>
      <c r="AA421" s="2467" t="s">
        <v>691</v>
      </c>
      <c r="AB421" s="2468" t="s">
        <v>6125</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691</v>
      </c>
      <c r="AT421" s="2468" t="s">
        <v>6125</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1977</v>
      </c>
      <c r="D422" s="2396"/>
      <c r="E422" s="2396"/>
      <c r="F422" s="2396"/>
      <c r="G422" s="2396"/>
      <c r="H422" s="2396"/>
      <c r="I422" s="2396"/>
      <c r="J422" s="2397" t="s">
        <v>32</v>
      </c>
      <c r="K422" s="2396"/>
      <c r="L422" s="2396"/>
      <c r="M422" s="2396"/>
      <c r="N422" s="2341"/>
      <c r="O422" s="2398"/>
      <c r="P422" s="2398"/>
      <c r="Q422" s="2396"/>
      <c r="R422" s="2396"/>
      <c r="S422" s="2396"/>
      <c r="AA422" s="2467" t="s">
        <v>1666</v>
      </c>
      <c r="AB422" s="2491" t="s">
        <v>6126</v>
      </c>
      <c r="AC422" s="2492"/>
      <c r="AD422" s="2492"/>
      <c r="AE422" s="2492"/>
      <c r="AF422" s="2492"/>
      <c r="AG422" s="2493">
        <v>3</v>
      </c>
      <c r="AH422" s="2485">
        <v>3</v>
      </c>
      <c r="AI422" s="2493"/>
      <c r="AJ422" s="2493"/>
      <c r="AK422" s="2484"/>
      <c r="AL422" s="2484"/>
      <c r="AM422" s="2485"/>
      <c r="AN422" s="2198" t="s">
        <v>6138</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1666</v>
      </c>
      <c r="AT422" s="2491" t="s">
        <v>6126</v>
      </c>
      <c r="AU422" s="2492"/>
      <c r="AV422" s="2492"/>
      <c r="AW422" s="2492"/>
      <c r="AX422" s="2492"/>
      <c r="AY422" s="2486">
        <f>O66</f>
        <v>2</v>
      </c>
      <c r="AZ422" s="2490">
        <f>O66</f>
        <v>2</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1978</v>
      </c>
      <c r="D423" s="2396"/>
      <c r="E423" s="2396"/>
      <c r="F423" s="2396"/>
      <c r="G423" s="2396"/>
      <c r="H423" s="2396"/>
      <c r="I423" s="2396"/>
      <c r="J423" s="2396"/>
      <c r="K423" s="2396"/>
      <c r="L423" s="2396"/>
      <c r="M423" s="2396"/>
      <c r="N423" s="2341"/>
      <c r="O423" s="2398"/>
      <c r="P423" s="2398"/>
      <c r="Q423" s="2396"/>
      <c r="R423" s="2396"/>
      <c r="S423" s="2396"/>
      <c r="AA423" s="2467" t="s">
        <v>1668</v>
      </c>
      <c r="AB423" s="2491" t="s">
        <v>3393</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1668</v>
      </c>
      <c r="AT423" s="2491" t="s">
        <v>3393</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1979</v>
      </c>
      <c r="D424" s="2396"/>
      <c r="E424" s="2396"/>
      <c r="F424" s="2396"/>
      <c r="G424" s="2396"/>
      <c r="H424" s="2396"/>
      <c r="I424" s="2396"/>
      <c r="J424" s="2400" t="s">
        <v>3037</v>
      </c>
      <c r="K424" s="2396"/>
      <c r="L424" s="2396"/>
      <c r="M424" s="2396"/>
      <c r="N424" s="2341"/>
      <c r="O424" s="2400" t="s">
        <v>3251</v>
      </c>
      <c r="P424" s="2398"/>
      <c r="Q424" s="2396"/>
      <c r="R424" s="2396"/>
      <c r="S424" s="2396"/>
      <c r="AA424" s="2467" t="s">
        <v>496</v>
      </c>
      <c r="AB424" s="2491" t="s">
        <v>4037</v>
      </c>
      <c r="AC424" s="2492"/>
      <c r="AD424" s="2492"/>
      <c r="AE424" s="2492"/>
      <c r="AF424" s="2492"/>
      <c r="AG424" s="2493">
        <v>6</v>
      </c>
      <c r="AH424" s="2485">
        <v>6</v>
      </c>
      <c r="AI424" s="2493"/>
      <c r="AJ424" s="2493"/>
      <c r="AK424" s="2484"/>
      <c r="AL424" s="2484"/>
      <c r="AM424" s="2485"/>
      <c r="AN424" s="2396"/>
      <c r="AO424" s="2396"/>
      <c r="AP424" s="2396"/>
      <c r="AQ424" s="2396"/>
      <c r="AR424" s="2396"/>
      <c r="AS424" s="2467" t="s">
        <v>496</v>
      </c>
      <c r="AT424" s="2491" t="s">
        <v>4037</v>
      </c>
      <c r="AU424" s="2492"/>
      <c r="AV424" s="2492"/>
      <c r="AW424" s="2492"/>
      <c r="AX424" s="2492"/>
      <c r="AY424" s="2495">
        <f>O86</f>
        <v>4.5</v>
      </c>
      <c r="AZ424" s="2496">
        <f>O86</f>
        <v>4.5</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1311</v>
      </c>
      <c r="D425" s="2396"/>
      <c r="E425" s="2396"/>
      <c r="F425" s="2396"/>
      <c r="G425" s="2396"/>
      <c r="H425" s="2396"/>
      <c r="I425" s="2396"/>
      <c r="J425" s="2397" t="s">
        <v>3038</v>
      </c>
      <c r="K425" s="2396"/>
      <c r="L425" s="2396"/>
      <c r="M425" s="2396"/>
      <c r="N425" s="2341"/>
      <c r="O425" s="2398"/>
      <c r="P425" s="2398"/>
      <c r="Q425" s="2396"/>
      <c r="R425" s="2396"/>
      <c r="S425" s="2396"/>
      <c r="AA425" s="2467" t="s">
        <v>720</v>
      </c>
      <c r="AB425" s="2491" t="s">
        <v>3338</v>
      </c>
      <c r="AC425" s="2492"/>
      <c r="AD425" s="2492"/>
      <c r="AE425" s="2492"/>
      <c r="AF425" s="2492"/>
      <c r="AG425" s="2493">
        <v>3</v>
      </c>
      <c r="AH425" s="2485">
        <v>3</v>
      </c>
      <c r="AI425" s="2493"/>
      <c r="AJ425" s="2493"/>
      <c r="AK425" s="2484"/>
      <c r="AL425" s="2484"/>
      <c r="AM425" s="2485"/>
      <c r="AN425" s="3918" t="s">
        <v>6561</v>
      </c>
      <c r="AO425" s="3919"/>
      <c r="AP425" s="3919"/>
      <c r="AQ425" s="3919"/>
      <c r="AR425" s="2396"/>
      <c r="AS425" s="2467" t="s">
        <v>720</v>
      </c>
      <c r="AT425" s="2491" t="s">
        <v>3338</v>
      </c>
      <c r="AU425" s="2492"/>
      <c r="AV425" s="2492"/>
      <c r="AW425" s="2492"/>
      <c r="AX425" s="2492"/>
      <c r="AY425" s="2493">
        <f>O106</f>
        <v>3</v>
      </c>
      <c r="AZ425" s="2485">
        <f>O106</f>
        <v>3</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2108</v>
      </c>
      <c r="D426" s="2396"/>
      <c r="E426" s="2396"/>
      <c r="F426" s="2396"/>
      <c r="G426" s="2396"/>
      <c r="H426" s="2396"/>
      <c r="I426" s="2396"/>
      <c r="J426" s="2396" t="s">
        <v>3022</v>
      </c>
      <c r="K426" s="2396"/>
      <c r="L426" s="2396"/>
      <c r="M426" s="2396"/>
      <c r="N426" s="2341"/>
      <c r="O426" s="2398">
        <v>2</v>
      </c>
      <c r="P426" s="2398"/>
      <c r="Q426" s="2396"/>
      <c r="R426" s="2396"/>
      <c r="S426" s="2396"/>
      <c r="AA426" s="2467" t="s">
        <v>280</v>
      </c>
      <c r="AB426" s="2491" t="s">
        <v>3394</v>
      </c>
      <c r="AC426" s="2492"/>
      <c r="AD426" s="2492"/>
      <c r="AE426" s="2492"/>
      <c r="AF426" s="2492"/>
      <c r="AG426" s="2493">
        <v>7</v>
      </c>
      <c r="AH426" s="2485">
        <v>7</v>
      </c>
      <c r="AI426" s="2493"/>
      <c r="AJ426" s="2493"/>
      <c r="AK426" s="2484"/>
      <c r="AL426" s="2484"/>
      <c r="AM426" s="2485"/>
      <c r="AN426" s="3918"/>
      <c r="AO426" s="3919"/>
      <c r="AP426" s="3919"/>
      <c r="AQ426" s="3919"/>
      <c r="AR426" s="2396"/>
      <c r="AS426" s="2467" t="s">
        <v>280</v>
      </c>
      <c r="AT426" s="2491" t="s">
        <v>3394</v>
      </c>
      <c r="AU426" s="2492"/>
      <c r="AV426" s="2492"/>
      <c r="AW426" s="2492"/>
      <c r="AX426" s="2492"/>
      <c r="AY426" s="2495">
        <f>O122</f>
        <v>0</v>
      </c>
      <c r="AZ426" s="2496">
        <f>O122</f>
        <v>0</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3023</v>
      </c>
      <c r="K427" s="2396"/>
      <c r="L427" s="2396"/>
      <c r="M427" s="2396"/>
      <c r="N427" s="2341"/>
      <c r="O427" s="2398">
        <v>2</v>
      </c>
      <c r="P427" s="2398"/>
      <c r="Q427" s="2396"/>
      <c r="R427" s="2396"/>
      <c r="S427" s="2396"/>
      <c r="AA427" s="2467" t="s">
        <v>401</v>
      </c>
      <c r="AB427" s="2491" t="s">
        <v>3395</v>
      </c>
      <c r="AC427" s="2492"/>
      <c r="AD427" s="2492"/>
      <c r="AE427" s="2492"/>
      <c r="AF427" s="2492"/>
      <c r="AG427" s="2493">
        <v>3</v>
      </c>
      <c r="AH427" s="2485"/>
      <c r="AI427" s="2493"/>
      <c r="AJ427" s="2493"/>
      <c r="AK427" s="2484"/>
      <c r="AL427" s="2484"/>
      <c r="AM427" s="2485"/>
      <c r="AN427" s="2199" t="s">
        <v>6556</v>
      </c>
      <c r="AO427" s="2199"/>
      <c r="AP427" s="2199"/>
      <c r="AQ427" s="2503"/>
      <c r="AR427" s="2396"/>
      <c r="AS427" s="2467" t="s">
        <v>401</v>
      </c>
      <c r="AT427" s="2491" t="s">
        <v>3395</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4048" t="s">
        <v>1407</v>
      </c>
      <c r="H428" s="4048"/>
      <c r="I428" s="4048"/>
      <c r="J428" s="2396" t="s">
        <v>3024</v>
      </c>
      <c r="K428" s="2396"/>
      <c r="L428" s="2396"/>
      <c r="M428" s="2396"/>
      <c r="N428" s="2341"/>
      <c r="O428" s="2398">
        <v>2</v>
      </c>
      <c r="P428" s="2398"/>
      <c r="Q428" s="2396"/>
      <c r="R428" s="2396"/>
      <c r="S428" s="2396"/>
      <c r="AA428" s="2467" t="s">
        <v>342</v>
      </c>
      <c r="AB428" s="2491" t="s">
        <v>4038</v>
      </c>
      <c r="AC428" s="2492"/>
      <c r="AD428" s="2492"/>
      <c r="AE428" s="2492"/>
      <c r="AF428" s="2492"/>
      <c r="AG428" s="2493">
        <v>9</v>
      </c>
      <c r="AH428" s="2485">
        <v>9</v>
      </c>
      <c r="AI428" s="2493"/>
      <c r="AJ428" s="2493"/>
      <c r="AK428" s="2484"/>
      <c r="AL428" s="2484"/>
      <c r="AM428" s="2485"/>
      <c r="AN428" s="2199" t="s">
        <v>3306</v>
      </c>
      <c r="AO428" s="2199"/>
      <c r="AP428" s="2199"/>
      <c r="AQ428" s="2504"/>
      <c r="AR428" s="2396"/>
      <c r="AS428" s="2467" t="s">
        <v>342</v>
      </c>
      <c r="AT428" s="2491" t="s">
        <v>4038</v>
      </c>
      <c r="AU428" s="2492"/>
      <c r="AV428" s="2492"/>
      <c r="AW428" s="2492"/>
      <c r="AX428" s="2492"/>
      <c r="AY428" s="2486">
        <f>O152</f>
        <v>7</v>
      </c>
      <c r="AZ428" s="2490">
        <f>O152</f>
        <v>7</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4063</v>
      </c>
      <c r="H429" s="2396" t="s">
        <v>4064</v>
      </c>
      <c r="I429" s="2401" t="s">
        <v>4062</v>
      </c>
      <c r="J429" s="2396" t="s">
        <v>3025</v>
      </c>
      <c r="K429" s="2396"/>
      <c r="L429" s="2401"/>
      <c r="M429" s="2396"/>
      <c r="N429" s="2341"/>
      <c r="O429" s="2398">
        <v>2</v>
      </c>
      <c r="P429" s="2398"/>
      <c r="Q429" s="2396"/>
      <c r="R429" s="2396"/>
      <c r="S429" s="2396"/>
      <c r="AA429" s="2467" t="s">
        <v>343</v>
      </c>
      <c r="AB429" s="2491" t="s">
        <v>6127</v>
      </c>
      <c r="AC429" s="2492"/>
      <c r="AD429" s="2492"/>
      <c r="AE429" s="2492"/>
      <c r="AF429" s="2492"/>
      <c r="AG429" s="2493">
        <v>1</v>
      </c>
      <c r="AH429" s="2485"/>
      <c r="AI429" s="2493"/>
      <c r="AJ429" s="2493"/>
      <c r="AK429" s="2484"/>
      <c r="AL429" s="2484"/>
      <c r="AM429" s="2485"/>
      <c r="AN429" s="2505" t="s">
        <v>6142</v>
      </c>
      <c r="AO429" s="2199"/>
      <c r="AP429" s="2199"/>
      <c r="AQ429" s="2506"/>
      <c r="AR429" s="2396"/>
      <c r="AS429" s="2467" t="s">
        <v>343</v>
      </c>
      <c r="AT429" s="2491" t="s">
        <v>6127</v>
      </c>
      <c r="AU429" s="2492"/>
      <c r="AV429" s="2492"/>
      <c r="AW429" s="2492"/>
      <c r="AX429" s="2492"/>
      <c r="AY429" s="2486">
        <f>O171</f>
        <v>1</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2320</v>
      </c>
      <c r="H430" s="2396"/>
      <c r="I430" s="2403"/>
      <c r="J430" s="2396" t="s">
        <v>3249</v>
      </c>
      <c r="K430" s="2396"/>
      <c r="L430" s="2403"/>
      <c r="M430" s="2396"/>
      <c r="N430" s="2341"/>
      <c r="O430" s="2398">
        <v>2</v>
      </c>
      <c r="P430" s="2398"/>
      <c r="Q430" s="2396"/>
      <c r="R430" s="2396"/>
      <c r="S430" s="2396"/>
      <c r="AA430" s="2467" t="s">
        <v>344</v>
      </c>
      <c r="AB430" s="2491" t="s">
        <v>3261</v>
      </c>
      <c r="AC430" s="2492"/>
      <c r="AD430" s="2492"/>
      <c r="AE430" s="2492"/>
      <c r="AF430" s="2492"/>
      <c r="AG430" s="2493">
        <v>10</v>
      </c>
      <c r="AH430" s="2485">
        <v>10</v>
      </c>
      <c r="AI430" s="2493"/>
      <c r="AJ430" s="2493"/>
      <c r="AK430" s="2484"/>
      <c r="AL430" s="2484"/>
      <c r="AM430" s="2485"/>
      <c r="AN430" s="2505" t="s">
        <v>6511</v>
      </c>
      <c r="AO430" s="2199"/>
      <c r="AP430" s="2199" t="s">
        <v>6945</v>
      </c>
      <c r="AQ430" s="2507" t="str">
        <f>IF('Part VII-Threshold Criteria'!$P$223="Agree","Yes","")</f>
        <v/>
      </c>
      <c r="AR430" s="2396"/>
      <c r="AS430" s="2467" t="s">
        <v>344</v>
      </c>
      <c r="AT430" s="2491" t="s">
        <v>3261</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436</v>
      </c>
      <c r="H431" s="2341" t="s">
        <v>4066</v>
      </c>
      <c r="I431" s="2401" t="s">
        <v>2453</v>
      </c>
      <c r="J431" s="2396" t="s">
        <v>3026</v>
      </c>
      <c r="K431" s="2396"/>
      <c r="L431" s="2402"/>
      <c r="M431" s="2396"/>
      <c r="N431" s="2341"/>
      <c r="O431" s="2398">
        <v>1</v>
      </c>
      <c r="P431" s="2398"/>
      <c r="Q431" s="2396"/>
      <c r="R431" s="2396"/>
      <c r="S431" s="2396"/>
      <c r="AA431" s="2467" t="s">
        <v>1604</v>
      </c>
      <c r="AB431" s="2491" t="s">
        <v>6128</v>
      </c>
      <c r="AC431" s="2492"/>
      <c r="AD431" s="2492"/>
      <c r="AE431" s="2492"/>
      <c r="AF431" s="2492"/>
      <c r="AG431" s="2493">
        <v>3</v>
      </c>
      <c r="AH431" s="2485"/>
      <c r="AI431" s="2493"/>
      <c r="AJ431" s="2493"/>
      <c r="AK431" s="2484"/>
      <c r="AL431" s="2484"/>
      <c r="AM431" s="2485"/>
      <c r="AN431" s="2396"/>
      <c r="AO431" s="2199"/>
      <c r="AP431" s="2399" t="s">
        <v>6141</v>
      </c>
      <c r="AQ431" s="2507" t="str">
        <f>IF('Part VII-Threshold Criteria'!$P$224="Agree","Yes","")</f>
        <v/>
      </c>
      <c r="AR431" s="2396"/>
      <c r="AS431" s="2467" t="s">
        <v>1604</v>
      </c>
      <c r="AT431" s="2491" t="s">
        <v>6128</v>
      </c>
      <c r="AU431" s="2492"/>
      <c r="AV431" s="2492"/>
      <c r="AW431" s="2492"/>
      <c r="AX431" s="2492"/>
      <c r="AY431" s="2486">
        <f>O189</f>
        <v>0</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1657</v>
      </c>
      <c r="H432" s="2341">
        <v>2020</v>
      </c>
      <c r="I432" s="2341" t="s">
        <v>4065</v>
      </c>
      <c r="J432" s="2396" t="s">
        <v>3027</v>
      </c>
      <c r="K432" s="2396"/>
      <c r="L432" s="2402"/>
      <c r="M432" s="2396"/>
      <c r="N432" s="2341"/>
      <c r="O432" s="2398">
        <v>1</v>
      </c>
      <c r="P432" s="2398"/>
      <c r="Q432" s="2396"/>
      <c r="R432" s="2396"/>
      <c r="S432" s="2396"/>
      <c r="AA432" s="2467" t="s">
        <v>3369</v>
      </c>
      <c r="AB432" s="2491" t="s">
        <v>4042</v>
      </c>
      <c r="AC432" s="2492"/>
      <c r="AD432" s="2492"/>
      <c r="AE432" s="2492"/>
      <c r="AF432" s="2492"/>
      <c r="AG432" s="2493">
        <v>5</v>
      </c>
      <c r="AH432" s="2485"/>
      <c r="AI432" s="2493"/>
      <c r="AJ432" s="2493"/>
      <c r="AK432" s="2484"/>
      <c r="AL432" s="2484"/>
      <c r="AM432" s="2485"/>
      <c r="AN432" s="2505"/>
      <c r="AO432" s="2199"/>
      <c r="AP432" s="2399" t="s">
        <v>6557</v>
      </c>
      <c r="AQ432" s="2508" t="str">
        <f>IF('Part VII-Threshold Criteria'!$P$225="Agree","Yes","")</f>
        <v/>
      </c>
      <c r="AR432" s="2396"/>
      <c r="AS432" s="2467" t="s">
        <v>3369</v>
      </c>
      <c r="AT432" s="2491" t="s">
        <v>4042</v>
      </c>
      <c r="AU432" s="2492"/>
      <c r="AV432" s="2492"/>
      <c r="AW432" s="2492"/>
      <c r="AX432" s="2492"/>
      <c r="AY432" s="2486">
        <f>O200</f>
        <v>5</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2351</v>
      </c>
      <c r="H433" s="2341" t="s">
        <v>1610</v>
      </c>
      <c r="I433" s="2401" t="s">
        <v>2453</v>
      </c>
      <c r="J433" s="2396" t="s">
        <v>3028</v>
      </c>
      <c r="K433" s="2396"/>
      <c r="L433" s="2402"/>
      <c r="M433" s="2396"/>
      <c r="N433" s="2341"/>
      <c r="O433" s="2398">
        <v>1</v>
      </c>
      <c r="P433" s="2398"/>
      <c r="Q433" s="2396"/>
      <c r="R433" s="2396"/>
      <c r="S433" s="2396"/>
      <c r="AA433" s="2467" t="s">
        <v>2080</v>
      </c>
      <c r="AB433" s="2491" t="s">
        <v>3803</v>
      </c>
      <c r="AC433" s="2492"/>
      <c r="AD433" s="2492"/>
      <c r="AE433" s="2492"/>
      <c r="AF433" s="2492"/>
      <c r="AG433" s="2493">
        <v>4</v>
      </c>
      <c r="AH433" s="2485">
        <v>4</v>
      </c>
      <c r="AI433" s="2493">
        <v>4</v>
      </c>
      <c r="AJ433" s="2493">
        <v>4</v>
      </c>
      <c r="AK433" s="2484">
        <v>4</v>
      </c>
      <c r="AL433" s="2484">
        <v>4</v>
      </c>
      <c r="AM433" s="2485">
        <v>4</v>
      </c>
      <c r="AN433" s="2509"/>
      <c r="AO433" s="2468"/>
      <c r="AP433" s="2510" t="s">
        <v>6558</v>
      </c>
      <c r="AQ433" s="2511" t="str">
        <f>IF('Part VII-Threshold Criteria'!$P$226="Agree","Yes","")</f>
        <v/>
      </c>
      <c r="AR433" s="2396"/>
      <c r="AS433" s="2467" t="s">
        <v>2080</v>
      </c>
      <c r="AT433" s="2491" t="s">
        <v>3803</v>
      </c>
      <c r="AU433" s="2492"/>
      <c r="AV433" s="2492"/>
      <c r="AW433" s="2492"/>
      <c r="AX433" s="2492"/>
      <c r="AY433" s="2486">
        <f>O210</f>
        <v>4</v>
      </c>
      <c r="AZ433" s="2490">
        <f>O210</f>
        <v>4</v>
      </c>
      <c r="BA433" s="2486">
        <f>O210</f>
        <v>4</v>
      </c>
      <c r="BB433" s="2487">
        <f>O210</f>
        <v>4</v>
      </c>
      <c r="BC433" s="2487">
        <f>O210</f>
        <v>4</v>
      </c>
      <c r="BD433" s="2487">
        <f>O210</f>
        <v>4</v>
      </c>
      <c r="BE433" s="2488">
        <f>O210</f>
        <v>4</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971</v>
      </c>
      <c r="H434" s="2341">
        <v>2020</v>
      </c>
      <c r="I434" s="2341" t="s">
        <v>4065</v>
      </c>
      <c r="J434" s="2396" t="s">
        <v>3250</v>
      </c>
      <c r="K434" s="2396"/>
      <c r="L434" s="2402"/>
      <c r="M434" s="2396"/>
      <c r="N434" s="2341"/>
      <c r="O434" s="2398">
        <v>1</v>
      </c>
      <c r="P434" s="2398"/>
      <c r="Q434" s="2396"/>
      <c r="R434" s="2396"/>
      <c r="S434" s="2396"/>
      <c r="AA434" s="2467" t="s">
        <v>3369</v>
      </c>
      <c r="AB434" s="2491" t="s">
        <v>6548</v>
      </c>
      <c r="AC434" s="2492"/>
      <c r="AD434" s="2492"/>
      <c r="AE434" s="2492"/>
      <c r="AF434" s="2492"/>
      <c r="AG434" s="2493">
        <v>2</v>
      </c>
      <c r="AH434" s="2485"/>
      <c r="AI434" s="2493"/>
      <c r="AJ434" s="2493"/>
      <c r="AK434" s="2484"/>
      <c r="AL434" s="2484"/>
      <c r="AM434" s="2485"/>
      <c r="AN434" s="2512" t="s">
        <v>2444</v>
      </c>
      <c r="AO434" s="2513"/>
      <c r="AP434" s="2514"/>
      <c r="AQ434" s="2503"/>
      <c r="AR434" s="2396"/>
      <c r="AS434" s="2467" t="s">
        <v>3369</v>
      </c>
      <c r="AT434" s="2491" t="s">
        <v>6548</v>
      </c>
      <c r="AU434" s="2492"/>
      <c r="AV434" s="2492"/>
      <c r="AW434" s="2492"/>
      <c r="AX434" s="2492"/>
      <c r="AY434" s="2486">
        <f>O223</f>
        <v>0</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3272</v>
      </c>
      <c r="H435" s="2341">
        <v>2019</v>
      </c>
      <c r="I435" s="2341" t="s">
        <v>4065</v>
      </c>
      <c r="J435" s="2396" t="s">
        <v>3036</v>
      </c>
      <c r="K435" s="2396"/>
      <c r="L435" s="2402"/>
      <c r="M435" s="2396"/>
      <c r="N435" s="2341"/>
      <c r="O435" s="2398">
        <v>1</v>
      </c>
      <c r="P435" s="2398"/>
      <c r="Q435" s="2396"/>
      <c r="R435" s="2396"/>
      <c r="S435" s="2396"/>
      <c r="AA435" s="2467" t="s">
        <v>3370</v>
      </c>
      <c r="AB435" s="2491" t="s">
        <v>6549</v>
      </c>
      <c r="AC435" s="2492"/>
      <c r="AD435" s="2492"/>
      <c r="AE435" s="2492"/>
      <c r="AF435" s="2492"/>
      <c r="AG435" s="2493">
        <v>2</v>
      </c>
      <c r="AH435" s="2485">
        <v>2</v>
      </c>
      <c r="AI435" s="2493">
        <v>2</v>
      </c>
      <c r="AJ435" s="2493">
        <v>2</v>
      </c>
      <c r="AK435" s="2484">
        <v>2</v>
      </c>
      <c r="AL435" s="2484">
        <v>2</v>
      </c>
      <c r="AM435" s="2485">
        <v>2</v>
      </c>
      <c r="AN435" s="2515" t="s">
        <v>6559</v>
      </c>
      <c r="AO435" s="2516"/>
      <c r="AP435" s="2517"/>
      <c r="AQ435" s="2506"/>
      <c r="AR435" s="2396"/>
      <c r="AS435" s="2467" t="s">
        <v>3370</v>
      </c>
      <c r="AT435" s="2491" t="s">
        <v>6549</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340</v>
      </c>
      <c r="H436" s="2341" t="s">
        <v>1610</v>
      </c>
      <c r="I436" s="2401" t="s">
        <v>2453</v>
      </c>
      <c r="J436" s="2396" t="s">
        <v>3029</v>
      </c>
      <c r="K436" s="2396"/>
      <c r="L436" s="2402"/>
      <c r="M436" s="2396"/>
      <c r="N436" s="2341"/>
      <c r="O436" s="2398">
        <v>1</v>
      </c>
      <c r="P436" s="2398"/>
      <c r="Q436" s="2396"/>
      <c r="R436" s="2396"/>
      <c r="S436" s="2396"/>
      <c r="AA436" s="2467" t="s">
        <v>3368</v>
      </c>
      <c r="AB436" s="2491" t="s">
        <v>6554</v>
      </c>
      <c r="AC436" s="2492"/>
      <c r="AD436" s="2492"/>
      <c r="AE436" s="2492"/>
      <c r="AF436" s="2492"/>
      <c r="AG436" s="2493">
        <v>2</v>
      </c>
      <c r="AH436" s="2485"/>
      <c r="AI436" s="2493"/>
      <c r="AJ436" s="2493"/>
      <c r="AK436" s="2484">
        <v>2</v>
      </c>
      <c r="AL436" s="2484">
        <v>2</v>
      </c>
      <c r="AM436" s="2485">
        <v>2</v>
      </c>
      <c r="AN436" s="2199" t="s">
        <v>6560</v>
      </c>
      <c r="AO436" s="2199"/>
      <c r="AP436" s="2199"/>
      <c r="AQ436" s="2499" t="str">
        <f>'Part II-Sources of Funds'!$L$14</f>
        <v>No</v>
      </c>
      <c r="AR436" s="2396"/>
      <c r="AS436" s="2467" t="s">
        <v>3368</v>
      </c>
      <c r="AT436" s="2491" t="s">
        <v>6554</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1633</v>
      </c>
      <c r="H437" s="2341">
        <v>2020</v>
      </c>
      <c r="I437" s="2341" t="s">
        <v>4065</v>
      </c>
      <c r="J437" s="2396" t="s">
        <v>3030</v>
      </c>
      <c r="K437" s="2396"/>
      <c r="L437" s="2402"/>
      <c r="M437" s="2396"/>
      <c r="N437" s="2341"/>
      <c r="O437" s="2398">
        <v>1</v>
      </c>
      <c r="P437" s="2398"/>
      <c r="Q437" s="2396"/>
      <c r="R437" s="2396"/>
      <c r="S437" s="2396"/>
      <c r="AA437" s="2467" t="s">
        <v>3371</v>
      </c>
      <c r="AB437" s="2491" t="s">
        <v>6129</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3371</v>
      </c>
      <c r="AT437" s="2491" t="s">
        <v>6129</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1909</v>
      </c>
      <c r="H438" s="2341" t="s">
        <v>4066</v>
      </c>
      <c r="I438" s="2401" t="s">
        <v>2453</v>
      </c>
      <c r="J438" s="2396" t="s">
        <v>3031</v>
      </c>
      <c r="K438" s="2396"/>
      <c r="L438" s="2402"/>
      <c r="M438" s="2396"/>
      <c r="N438" s="2341"/>
      <c r="O438" s="2398">
        <v>1</v>
      </c>
      <c r="P438" s="2398"/>
      <c r="Q438" s="2396"/>
      <c r="R438" s="2396"/>
      <c r="S438" s="2396"/>
      <c r="AA438" s="2467" t="s">
        <v>3372</v>
      </c>
      <c r="AB438" s="2491" t="s">
        <v>3396</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3372</v>
      </c>
      <c r="AT438" s="2491" t="s">
        <v>3396</v>
      </c>
      <c r="AU438" s="2492"/>
      <c r="AV438" s="2492"/>
      <c r="AW438" s="2492"/>
      <c r="AX438" s="2492"/>
      <c r="AY438" s="2486">
        <f>O271</f>
        <v>0</v>
      </c>
      <c r="AZ438" s="2490"/>
      <c r="BA438" s="2486"/>
      <c r="BB438" s="2487"/>
      <c r="BC438" s="2487">
        <f>O271</f>
        <v>0</v>
      </c>
      <c r="BD438" s="2487">
        <f>O271</f>
        <v>0</v>
      </c>
      <c r="BE438" s="2488">
        <f>O271</f>
        <v>0</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82</v>
      </c>
      <c r="H439" s="2341" t="s">
        <v>4066</v>
      </c>
      <c r="I439" s="2401" t="s">
        <v>2453</v>
      </c>
      <c r="J439" s="2396" t="s">
        <v>3032</v>
      </c>
      <c r="K439" s="2396"/>
      <c r="L439" s="2402"/>
      <c r="M439" s="2396"/>
      <c r="N439" s="2341"/>
      <c r="O439" s="2398">
        <v>1</v>
      </c>
      <c r="P439" s="2398"/>
      <c r="Q439" s="2396"/>
      <c r="R439" s="2396"/>
      <c r="S439" s="2396"/>
      <c r="AA439" s="2467" t="s">
        <v>3375</v>
      </c>
      <c r="AB439" s="2491" t="s">
        <v>3397</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3375</v>
      </c>
      <c r="AT439" s="2491" t="s">
        <v>3397</v>
      </c>
      <c r="AU439" s="2492"/>
      <c r="AV439" s="2492"/>
      <c r="AW439" s="2492"/>
      <c r="AX439" s="2492"/>
      <c r="AY439" s="2486">
        <f>O280</f>
        <v>0</v>
      </c>
      <c r="AZ439" s="2490">
        <f>O280</f>
        <v>0</v>
      </c>
      <c r="BA439" s="2486">
        <f>O280</f>
        <v>0</v>
      </c>
      <c r="BB439" s="2487">
        <f>O280</f>
        <v>0</v>
      </c>
      <c r="BC439" s="2487">
        <f>O280</f>
        <v>0</v>
      </c>
      <c r="BD439" s="2487">
        <f>O280</f>
        <v>0</v>
      </c>
      <c r="BE439" s="2488">
        <f>O280</f>
        <v>0</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837</v>
      </c>
      <c r="H440" s="2341">
        <v>2019</v>
      </c>
      <c r="I440" s="2341" t="s">
        <v>4065</v>
      </c>
      <c r="J440" s="2396" t="s">
        <v>3035</v>
      </c>
      <c r="K440" s="2396"/>
      <c r="L440" s="2402"/>
      <c r="M440" s="2396"/>
      <c r="N440" s="2341"/>
      <c r="O440" s="2398">
        <v>1</v>
      </c>
      <c r="P440" s="2398"/>
      <c r="Q440" s="2396"/>
      <c r="R440" s="2396"/>
      <c r="S440" s="2396"/>
      <c r="AA440" s="2467" t="s">
        <v>3376</v>
      </c>
      <c r="AB440" s="2491" t="s">
        <v>3398</v>
      </c>
      <c r="AC440" s="2492"/>
      <c r="AD440" s="2492"/>
      <c r="AE440" s="2492"/>
      <c r="AF440" s="2492"/>
      <c r="AG440" s="2493">
        <v>2</v>
      </c>
      <c r="AH440" s="2485"/>
      <c r="AI440" s="2493"/>
      <c r="AJ440" s="2493"/>
      <c r="AK440" s="2484"/>
      <c r="AL440" s="2484"/>
      <c r="AM440" s="2485"/>
      <c r="AN440" s="2396"/>
      <c r="AO440" s="2396"/>
      <c r="AP440" s="2396"/>
      <c r="AQ440" s="2396"/>
      <c r="AR440" s="2396"/>
      <c r="AS440" s="2467" t="s">
        <v>3376</v>
      </c>
      <c r="AT440" s="2491" t="s">
        <v>3398</v>
      </c>
      <c r="AU440" s="2492"/>
      <c r="AV440" s="2492"/>
      <c r="AW440" s="2492"/>
      <c r="AX440" s="2492"/>
      <c r="AY440" s="2486">
        <f>O312</f>
        <v>0</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2498</v>
      </c>
      <c r="B441" s="2396"/>
      <c r="C441" s="2396"/>
      <c r="D441" s="2396"/>
      <c r="E441" s="2396"/>
      <c r="F441" s="2396"/>
      <c r="G441" s="2403" t="s">
        <v>1986</v>
      </c>
      <c r="H441" s="2341" t="s">
        <v>4066</v>
      </c>
      <c r="I441" s="2401" t="s">
        <v>2453</v>
      </c>
      <c r="J441" s="2396" t="s">
        <v>3033</v>
      </c>
      <c r="K441" s="2396"/>
      <c r="L441" s="2402"/>
      <c r="M441" s="2396"/>
      <c r="N441" s="2341"/>
      <c r="O441" s="2398">
        <v>1</v>
      </c>
      <c r="P441" s="2398"/>
      <c r="Q441" s="2396"/>
      <c r="R441" s="2396"/>
      <c r="S441" s="2396"/>
      <c r="AA441" s="2467" t="s">
        <v>3377</v>
      </c>
      <c r="AB441" s="2491" t="s">
        <v>6130</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3377</v>
      </c>
      <c r="AT441" s="2491" t="s">
        <v>6130</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2513</v>
      </c>
      <c r="B442" s="2396"/>
      <c r="C442" s="2396"/>
      <c r="D442" s="2396"/>
      <c r="E442" s="2396"/>
      <c r="F442" s="2396"/>
      <c r="G442" s="2403" t="s">
        <v>1907</v>
      </c>
      <c r="H442" s="2341">
        <v>2019</v>
      </c>
      <c r="I442" s="2341" t="s">
        <v>4065</v>
      </c>
      <c r="J442" s="2396" t="s">
        <v>3034</v>
      </c>
      <c r="K442" s="2396"/>
      <c r="L442" s="2402"/>
      <c r="M442" s="2396"/>
      <c r="N442" s="2341"/>
      <c r="O442" s="2398">
        <v>1</v>
      </c>
      <c r="P442" s="2398"/>
      <c r="Q442" s="2396"/>
      <c r="R442" s="2396"/>
      <c r="S442" s="2396"/>
      <c r="AA442" s="2467" t="s">
        <v>3378</v>
      </c>
      <c r="AB442" s="2491" t="s">
        <v>6550</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3378</v>
      </c>
      <c r="AT442" s="2491" t="s">
        <v>6550</v>
      </c>
      <c r="AU442" s="2492"/>
      <c r="AV442" s="2492"/>
      <c r="AW442" s="2492"/>
      <c r="AX442" s="2492"/>
      <c r="AY442" s="2486">
        <f>O332</f>
        <v>3</v>
      </c>
      <c r="AZ442" s="2490">
        <f>O332</f>
        <v>3</v>
      </c>
      <c r="BA442" s="2486">
        <f>O332</f>
        <v>3</v>
      </c>
      <c r="BB442" s="2487">
        <f>O332</f>
        <v>3</v>
      </c>
      <c r="BC442" s="2487">
        <f>O332</f>
        <v>3</v>
      </c>
      <c r="BD442" s="2487">
        <f>O332</f>
        <v>3</v>
      </c>
      <c r="BE442" s="2488">
        <f>O332</f>
        <v>3</v>
      </c>
      <c r="BF442" s="2489">
        <f>P332</f>
        <v>2</v>
      </c>
      <c r="BG442" s="2490">
        <f>P332</f>
        <v>2</v>
      </c>
      <c r="BH442" s="2486">
        <f>P332</f>
        <v>2</v>
      </c>
      <c r="BI442" s="2487">
        <f>P332</f>
        <v>2</v>
      </c>
      <c r="BJ442" s="2487">
        <f>P332</f>
        <v>2</v>
      </c>
      <c r="BK442" s="2487">
        <f>P332</f>
        <v>2</v>
      </c>
      <c r="BL442" s="2490">
        <f>P332</f>
        <v>2</v>
      </c>
      <c r="BM442" s="2396"/>
      <c r="BN442" s="2396"/>
    </row>
    <row r="443" spans="1:66">
      <c r="A443" s="2402" t="s">
        <v>3005</v>
      </c>
      <c r="B443" s="2396"/>
      <c r="C443" s="2396"/>
      <c r="D443" s="2402"/>
      <c r="E443" s="2402">
        <v>3</v>
      </c>
      <c r="F443" s="2396"/>
      <c r="G443" s="2403" t="s">
        <v>322</v>
      </c>
      <c r="H443" s="2341">
        <v>2019</v>
      </c>
      <c r="I443" s="2341" t="s">
        <v>4065</v>
      </c>
      <c r="J443" s="2396"/>
      <c r="K443" s="2396"/>
      <c r="L443" s="2402"/>
      <c r="M443" s="2396"/>
      <c r="N443" s="2341"/>
      <c r="O443" s="2398"/>
      <c r="P443" s="2398"/>
      <c r="Q443" s="2396"/>
      <c r="R443" s="2396"/>
      <c r="S443" s="2396"/>
      <c r="AA443" s="2467" t="s">
        <v>3379</v>
      </c>
      <c r="AB443" s="2491" t="s">
        <v>6131</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3379</v>
      </c>
      <c r="AT443" s="2491" t="s">
        <v>6131</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3006</v>
      </c>
      <c r="B444" s="2396"/>
      <c r="C444" s="2396"/>
      <c r="D444" s="2402"/>
      <c r="E444" s="2402">
        <v>2</v>
      </c>
      <c r="F444" s="2396"/>
      <c r="G444" s="2403" t="s">
        <v>815</v>
      </c>
      <c r="H444" s="2341">
        <v>2019</v>
      </c>
      <c r="I444" s="2341" t="s">
        <v>4065</v>
      </c>
      <c r="J444" s="2396"/>
      <c r="K444" s="2396"/>
      <c r="L444" s="2402"/>
      <c r="M444" s="2396"/>
      <c r="N444" s="2341"/>
      <c r="O444" s="2398"/>
      <c r="P444" s="2398"/>
      <c r="Q444" s="2396"/>
      <c r="R444" s="2396"/>
      <c r="S444" s="2396"/>
      <c r="AA444" s="2467" t="s">
        <v>3380</v>
      </c>
      <c r="AB444" s="2491" t="s">
        <v>6914</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3380</v>
      </c>
      <c r="AT444" s="2491" t="s">
        <v>6914</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3007</v>
      </c>
      <c r="B445" s="2396"/>
      <c r="C445" s="2396"/>
      <c r="D445" s="2402"/>
      <c r="E445" s="2402">
        <v>10</v>
      </c>
      <c r="F445" s="2396"/>
      <c r="G445" s="2403" t="s">
        <v>1789</v>
      </c>
      <c r="H445" s="2341">
        <v>2019</v>
      </c>
      <c r="I445" s="2341" t="s">
        <v>4065</v>
      </c>
      <c r="J445" s="2404" t="s">
        <v>3260</v>
      </c>
      <c r="K445" s="2396"/>
      <c r="L445" s="2402"/>
      <c r="M445" s="2396"/>
      <c r="N445" s="2341"/>
      <c r="O445" s="2398"/>
      <c r="P445" s="2398"/>
      <c r="Q445" s="2396"/>
      <c r="R445" s="2396"/>
      <c r="S445" s="2396"/>
      <c r="AA445" s="2467" t="s">
        <v>3802</v>
      </c>
      <c r="AB445" s="2491" t="s">
        <v>6552</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3802</v>
      </c>
      <c r="AT445" s="2491" t="s">
        <v>6552</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2514</v>
      </c>
      <c r="B446" s="2396"/>
      <c r="C446" s="2396"/>
      <c r="D446" s="2402"/>
      <c r="E446" s="2402"/>
      <c r="F446" s="2396"/>
      <c r="G446" s="2403" t="s">
        <v>395</v>
      </c>
      <c r="H446" s="2341">
        <v>2019</v>
      </c>
      <c r="I446" s="2341" t="s">
        <v>4065</v>
      </c>
      <c r="J446" s="2396" t="s">
        <v>3336</v>
      </c>
      <c r="K446" s="2396"/>
      <c r="L446" s="2402"/>
      <c r="M446" s="2396"/>
      <c r="N446" s="2341"/>
      <c r="O446" s="2398"/>
      <c r="P446" s="2398"/>
      <c r="Q446" s="2396"/>
      <c r="R446" s="2396"/>
      <c r="S446" s="2396"/>
      <c r="AA446" s="2467" t="s">
        <v>6555</v>
      </c>
      <c r="AB446" s="2513" t="s">
        <v>6553</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6555</v>
      </c>
      <c r="AT446" s="2513" t="s">
        <v>6553</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921</v>
      </c>
      <c r="H447" s="2341">
        <v>2020</v>
      </c>
      <c r="I447" s="2341" t="s">
        <v>4065</v>
      </c>
      <c r="J447" s="2396" t="s">
        <v>3331</v>
      </c>
      <c r="K447" s="2396"/>
      <c r="L447" s="2402"/>
      <c r="M447" s="2396"/>
      <c r="N447" s="2341"/>
      <c r="O447" s="2398"/>
      <c r="P447" s="2398"/>
      <c r="Q447" s="2396"/>
      <c r="R447" s="2396"/>
      <c r="S447" s="2396"/>
      <c r="AA447" s="2467" t="s">
        <v>6916</v>
      </c>
      <c r="AB447" s="2526" t="s">
        <v>6925</v>
      </c>
      <c r="AC447" s="2527"/>
      <c r="AD447" s="2527"/>
      <c r="AE447" s="2527"/>
      <c r="AF447" s="2527"/>
      <c r="AG447" s="2528"/>
      <c r="AH447" s="2529"/>
      <c r="AI447" s="2530"/>
      <c r="AJ447" s="2528">
        <v>16</v>
      </c>
      <c r="AK447" s="2531"/>
      <c r="AL447" s="2531"/>
      <c r="AM447" s="2532"/>
      <c r="AN447" s="2396"/>
      <c r="AO447" s="2396"/>
      <c r="AP447" s="2396"/>
      <c r="AQ447" s="2396"/>
      <c r="AR447" s="2396"/>
      <c r="AS447" s="2467" t="s">
        <v>6916</v>
      </c>
      <c r="AT447" s="2526" t="s">
        <v>6925</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532</v>
      </c>
      <c r="H448" s="2341">
        <v>2020</v>
      </c>
      <c r="I448" s="2341" t="s">
        <v>4065</v>
      </c>
      <c r="J448" s="2396" t="s">
        <v>3253</v>
      </c>
      <c r="K448" s="2396"/>
      <c r="L448" s="2402"/>
      <c r="M448" s="2396"/>
      <c r="N448" s="2341"/>
      <c r="O448" s="2398"/>
      <c r="P448" s="2398"/>
      <c r="Q448" s="2396"/>
      <c r="R448" s="2396"/>
      <c r="S448" s="2396"/>
      <c r="AA448" s="2199"/>
      <c r="AB448" s="2539"/>
      <c r="AC448" s="2199"/>
      <c r="AD448" s="2199"/>
      <c r="AE448" s="2199"/>
      <c r="AF448" s="2199"/>
      <c r="AG448" s="2199"/>
      <c r="AH448" s="2199"/>
      <c r="AI448" s="2199"/>
      <c r="AJ448" s="2199"/>
      <c r="AK448" s="2199"/>
      <c r="AL448" s="2199"/>
      <c r="AM448" s="2199"/>
      <c r="AN448" s="2396"/>
      <c r="AO448" s="2396"/>
      <c r="AP448" s="2396"/>
      <c r="AQ448" s="2396"/>
      <c r="AR448" s="2396"/>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6"/>
      <c r="BN448" s="2396"/>
    </row>
    <row r="449" spans="2:66">
      <c r="B449" s="2396"/>
      <c r="C449" s="2402"/>
      <c r="D449" s="2396"/>
      <c r="E449" s="2396"/>
      <c r="F449" s="2396"/>
      <c r="G449" s="2403" t="s">
        <v>809</v>
      </c>
      <c r="H449" s="2341" t="s">
        <v>4066</v>
      </c>
      <c r="I449" s="2401" t="s">
        <v>2453</v>
      </c>
      <c r="J449" s="2396" t="s">
        <v>3327</v>
      </c>
      <c r="K449" s="2396"/>
      <c r="L449" s="2402"/>
      <c r="M449" s="2396"/>
      <c r="N449" s="2341"/>
      <c r="O449" s="2398"/>
      <c r="P449" s="2398"/>
      <c r="Q449" s="2396"/>
      <c r="R449" s="2396"/>
      <c r="S449" s="2396"/>
      <c r="AA449" s="2199"/>
      <c r="AB449" s="2539"/>
      <c r="AC449" s="2199"/>
      <c r="AD449" s="2198" t="s">
        <v>6243</v>
      </c>
      <c r="AE449" s="2199"/>
      <c r="AF449" s="2199"/>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9"/>
      <c r="AT449" s="2199"/>
      <c r="AU449" s="2199"/>
      <c r="AV449" s="2199"/>
      <c r="AW449" s="2199"/>
      <c r="AX449" s="2199"/>
      <c r="AY449" s="2541">
        <f>SUM(AY420:AY447)</f>
        <v>73.5</v>
      </c>
      <c r="AZ449" s="2541">
        <f>IF(AND($O$36="4%",($C$36-$A$36)&gt;0),(SUM(AZ420:AZ447)-($C$36-$A$36)),SUM(AZ420:AZ447))</f>
        <v>65.5</v>
      </c>
      <c r="BA449" s="2541">
        <f t="shared" ref="BA449:BB449" si="3">IF(AND($O$36="4%",($C$36-$A$36)&gt;0),(SUM(BA420:BA447)-($C$36-$A$36)),SUM(BA420:BA447))</f>
        <v>29</v>
      </c>
      <c r="BB449" s="2541">
        <f t="shared" si="3"/>
        <v>29</v>
      </c>
      <c r="BC449" s="2541">
        <f t="shared" ref="BC449:BL449" si="4">SUM(BC420:BC447)</f>
        <v>31</v>
      </c>
      <c r="BD449" s="2541">
        <f t="shared" si="4"/>
        <v>31</v>
      </c>
      <c r="BE449" s="2541">
        <f t="shared" si="4"/>
        <v>31</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3019</v>
      </c>
      <c r="H450" s="2341">
        <v>2019</v>
      </c>
      <c r="I450" s="2341" t="s">
        <v>4065</v>
      </c>
      <c r="J450" s="2396" t="s">
        <v>3254</v>
      </c>
      <c r="K450" s="2396"/>
      <c r="L450" s="2402"/>
      <c r="M450" s="2396"/>
      <c r="N450" s="2341"/>
      <c r="O450" s="2398"/>
      <c r="P450" s="2398"/>
      <c r="Q450" s="2396"/>
      <c r="R450" s="2396"/>
      <c r="S450" s="2396"/>
      <c r="AN450" s="2123"/>
      <c r="AO450" s="2139"/>
      <c r="AP450" s="2133"/>
      <c r="AQ450" s="2124"/>
    </row>
    <row r="451" spans="2:66">
      <c r="B451" s="2396"/>
      <c r="C451" s="2396"/>
      <c r="D451" s="2396"/>
      <c r="E451" s="2396"/>
      <c r="F451" s="2396"/>
      <c r="G451" s="2403" t="s">
        <v>764</v>
      </c>
      <c r="H451" s="2341">
        <v>2019</v>
      </c>
      <c r="I451" s="2341" t="s">
        <v>4065</v>
      </c>
      <c r="J451" s="2396" t="s">
        <v>3328</v>
      </c>
      <c r="K451" s="2396"/>
      <c r="L451" s="2402"/>
      <c r="M451" s="2396"/>
      <c r="N451" s="2341"/>
      <c r="O451" s="2398"/>
      <c r="P451" s="2398"/>
      <c r="Q451" s="2396"/>
      <c r="R451" s="2396"/>
      <c r="S451" s="2396"/>
    </row>
    <row r="452" spans="2:66">
      <c r="B452" s="2396"/>
      <c r="C452" s="2396"/>
      <c r="D452" s="2396"/>
      <c r="E452" s="2396"/>
      <c r="F452" s="2396"/>
      <c r="G452" s="2403" t="s">
        <v>172</v>
      </c>
      <c r="H452" s="2341">
        <v>2019</v>
      </c>
      <c r="I452" s="2341" t="s">
        <v>4065</v>
      </c>
      <c r="J452" s="2396" t="s">
        <v>3255</v>
      </c>
      <c r="K452" s="2396"/>
      <c r="L452" s="2396"/>
      <c r="M452" s="2396"/>
      <c r="N452" s="2341"/>
      <c r="O452" s="2398"/>
      <c r="P452" s="2398"/>
      <c r="Q452" s="2396"/>
      <c r="R452" s="2396"/>
      <c r="S452" s="2396"/>
    </row>
    <row r="453" spans="2:66">
      <c r="B453" s="2396"/>
      <c r="C453" s="2396"/>
      <c r="D453" s="2396"/>
      <c r="E453" s="2396"/>
      <c r="F453" s="2396"/>
      <c r="G453" s="2403" t="s">
        <v>3345</v>
      </c>
      <c r="H453" s="2341" t="s">
        <v>4066</v>
      </c>
      <c r="I453" s="2401" t="s">
        <v>2453</v>
      </c>
      <c r="J453" s="2396" t="s">
        <v>3329</v>
      </c>
      <c r="K453" s="2396"/>
      <c r="L453" s="2402"/>
      <c r="M453" s="2396"/>
      <c r="N453" s="2341"/>
      <c r="O453" s="2398"/>
      <c r="P453" s="2398"/>
      <c r="Q453" s="2396"/>
      <c r="R453" s="2396"/>
      <c r="S453" s="2396"/>
    </row>
    <row r="454" spans="2:66" ht="14.25">
      <c r="B454" s="2396"/>
      <c r="C454" s="2396"/>
      <c r="D454" s="2396"/>
      <c r="E454" s="2396"/>
      <c r="F454" s="2396"/>
      <c r="G454" s="2403" t="s">
        <v>507</v>
      </c>
      <c r="H454" s="2341">
        <v>2020</v>
      </c>
      <c r="I454" s="2341" t="s">
        <v>4065</v>
      </c>
      <c r="J454" s="2396" t="s">
        <v>3332</v>
      </c>
      <c r="K454" s="2396"/>
      <c r="L454" s="2402"/>
      <c r="M454" s="2396"/>
      <c r="N454" s="2396"/>
      <c r="O454" s="2396"/>
      <c r="P454" s="2396"/>
      <c r="Q454" s="2396"/>
      <c r="R454" s="2396"/>
      <c r="S454" s="2396"/>
    </row>
    <row r="455" spans="2:66" ht="14.25">
      <c r="B455" s="2396"/>
      <c r="C455" s="2396"/>
      <c r="D455" s="2396"/>
      <c r="E455" s="2396"/>
      <c r="F455" s="2396"/>
      <c r="G455" s="2403" t="s">
        <v>376</v>
      </c>
      <c r="H455" s="2341">
        <v>2020</v>
      </c>
      <c r="I455" s="2341" t="s">
        <v>4065</v>
      </c>
      <c r="J455" s="2396" t="s">
        <v>3335</v>
      </c>
      <c r="K455" s="2396"/>
      <c r="L455" s="2396"/>
      <c r="M455" s="2396"/>
      <c r="N455" s="2396"/>
      <c r="O455" s="2396"/>
      <c r="P455" s="2396"/>
      <c r="Q455" s="2396"/>
      <c r="R455" s="2396"/>
      <c r="S455" s="2396"/>
    </row>
    <row r="456" spans="2:66" ht="14.25">
      <c r="B456" s="2396"/>
      <c r="C456" s="2396"/>
      <c r="D456" s="2405"/>
      <c r="E456" s="2396"/>
      <c r="F456" s="2396"/>
      <c r="G456" s="2403" t="s">
        <v>1349</v>
      </c>
      <c r="H456" s="2341" t="s">
        <v>4066</v>
      </c>
      <c r="I456" s="2401" t="s">
        <v>2453</v>
      </c>
      <c r="J456" s="2396" t="s">
        <v>3256</v>
      </c>
      <c r="K456" s="2396"/>
      <c r="L456" s="2402"/>
      <c r="M456" s="2396"/>
      <c r="N456" s="2396"/>
      <c r="O456" s="2396"/>
      <c r="P456" s="2396"/>
      <c r="Q456" s="2396"/>
      <c r="R456" s="2396"/>
      <c r="S456" s="2396"/>
    </row>
    <row r="457" spans="2:66" ht="14.25">
      <c r="B457" s="2396"/>
      <c r="C457" s="2396"/>
      <c r="D457" s="2405"/>
      <c r="E457" s="2396"/>
      <c r="F457" s="2396"/>
      <c r="G457" s="2403" t="s">
        <v>1707</v>
      </c>
      <c r="H457" s="2341" t="s">
        <v>4066</v>
      </c>
      <c r="I457" s="2401" t="s">
        <v>2453</v>
      </c>
      <c r="J457" s="2396" t="s">
        <v>3257</v>
      </c>
      <c r="K457" s="2396"/>
      <c r="L457" s="2402"/>
      <c r="M457" s="2396"/>
      <c r="N457" s="2396"/>
      <c r="O457" s="2396"/>
      <c r="P457" s="2396"/>
      <c r="Q457" s="2396"/>
      <c r="R457" s="2396"/>
      <c r="S457" s="2396"/>
    </row>
    <row r="458" spans="2:66" ht="14.25">
      <c r="B458" s="2396"/>
      <c r="C458" s="2396"/>
      <c r="D458" s="2396"/>
      <c r="E458" s="2396"/>
      <c r="F458" s="2396"/>
      <c r="G458" s="2403" t="s">
        <v>1969</v>
      </c>
      <c r="H458" s="2341">
        <v>2020</v>
      </c>
      <c r="I458" s="2341" t="s">
        <v>4065</v>
      </c>
      <c r="J458" s="2396" t="s">
        <v>3330</v>
      </c>
      <c r="K458" s="2396"/>
      <c r="L458" s="2402"/>
      <c r="M458" s="2396"/>
      <c r="N458" s="2396"/>
      <c r="O458" s="2396"/>
      <c r="P458" s="2396"/>
      <c r="Q458" s="2396"/>
      <c r="R458" s="2396"/>
      <c r="S458" s="2396"/>
    </row>
    <row r="459" spans="2:66" ht="14.25">
      <c r="B459" s="2396"/>
      <c r="C459" s="2396"/>
      <c r="D459" s="2396"/>
      <c r="E459" s="2396"/>
      <c r="F459" s="2396"/>
      <c r="G459" s="2403" t="s">
        <v>1352</v>
      </c>
      <c r="H459" s="2341">
        <v>2019</v>
      </c>
      <c r="I459" s="2341" t="s">
        <v>4065</v>
      </c>
      <c r="J459" s="2396" t="s">
        <v>3333</v>
      </c>
      <c r="K459" s="2396"/>
      <c r="L459" s="2396"/>
      <c r="M459" s="2396"/>
      <c r="N459" s="2396"/>
      <c r="O459" s="2396"/>
      <c r="P459" s="2396"/>
      <c r="Q459" s="2396"/>
      <c r="R459" s="2396"/>
      <c r="S459" s="2396"/>
    </row>
    <row r="460" spans="2:66" ht="14.25">
      <c r="B460" s="2396"/>
      <c r="C460" s="2396"/>
      <c r="D460" s="2396"/>
      <c r="E460" s="2396"/>
      <c r="F460" s="2396"/>
      <c r="G460" s="2403" t="s">
        <v>235</v>
      </c>
      <c r="H460" s="2341">
        <v>2019</v>
      </c>
      <c r="I460" s="2341" t="s">
        <v>4065</v>
      </c>
      <c r="J460" s="2396" t="s">
        <v>3334</v>
      </c>
      <c r="K460" s="2396"/>
      <c r="L460" s="2402"/>
      <c r="M460" s="2396"/>
      <c r="N460" s="2396"/>
      <c r="O460" s="2396"/>
      <c r="P460" s="2396"/>
      <c r="Q460" s="2396"/>
      <c r="R460" s="2396"/>
      <c r="S460" s="2396"/>
    </row>
    <row r="461" spans="2:66" ht="14.25">
      <c r="B461" s="2396"/>
      <c r="C461" s="2396"/>
      <c r="D461" s="2396"/>
      <c r="E461" s="2396"/>
      <c r="F461" s="2396"/>
      <c r="G461" s="2403" t="s">
        <v>978</v>
      </c>
      <c r="H461" s="2341">
        <v>2020</v>
      </c>
      <c r="I461" s="2341" t="s">
        <v>4065</v>
      </c>
      <c r="J461" s="2396" t="s">
        <v>3258</v>
      </c>
      <c r="K461" s="2396"/>
      <c r="L461" s="2402"/>
      <c r="M461" s="2396"/>
      <c r="N461" s="2396"/>
      <c r="O461" s="2396"/>
      <c r="P461" s="2396"/>
      <c r="Q461" s="2396"/>
      <c r="R461" s="2396"/>
      <c r="S461" s="2396"/>
    </row>
    <row r="462" spans="2:66" ht="14.25">
      <c r="B462" s="2396"/>
      <c r="C462" s="2405"/>
      <c r="D462" s="2396"/>
      <c r="E462" s="2396"/>
      <c r="F462" s="2396"/>
      <c r="G462" s="2403" t="s">
        <v>2096</v>
      </c>
      <c r="H462" s="2341">
        <v>2020</v>
      </c>
      <c r="I462" s="2341" t="s">
        <v>4065</v>
      </c>
      <c r="J462" s="2396" t="s">
        <v>3259</v>
      </c>
      <c r="K462" s="2396"/>
      <c r="L462" s="2402"/>
      <c r="M462" s="2396"/>
      <c r="N462" s="2396"/>
      <c r="O462" s="2396"/>
      <c r="P462" s="2396"/>
      <c r="Q462" s="2396"/>
      <c r="R462" s="2396"/>
      <c r="S462" s="2396"/>
    </row>
    <row r="463" spans="2:66" ht="14.25">
      <c r="B463" s="2396"/>
      <c r="C463" s="2405"/>
      <c r="D463" s="2396"/>
      <c r="E463" s="2396"/>
      <c r="F463" s="2396"/>
      <c r="G463" s="2403" t="s">
        <v>4060</v>
      </c>
      <c r="H463" s="2341" t="s">
        <v>4066</v>
      </c>
      <c r="I463" s="2401" t="s">
        <v>2453</v>
      </c>
      <c r="J463" s="2396"/>
      <c r="K463" s="2396"/>
      <c r="L463" s="2402"/>
      <c r="M463" s="2396"/>
      <c r="N463" s="2396"/>
      <c r="O463" s="2396"/>
      <c r="P463" s="2396"/>
      <c r="Q463" s="2396"/>
      <c r="R463" s="2396"/>
      <c r="S463" s="2396"/>
    </row>
    <row r="464" spans="2:66" ht="14.25">
      <c r="B464" s="2396"/>
      <c r="C464" s="2405"/>
      <c r="D464" s="2396"/>
      <c r="E464" s="2396"/>
      <c r="F464" s="2396"/>
      <c r="G464" s="2403" t="s">
        <v>1749</v>
      </c>
      <c r="H464" s="2341" t="s">
        <v>4066</v>
      </c>
      <c r="I464" s="2401" t="s">
        <v>2453</v>
      </c>
      <c r="J464" s="2396"/>
      <c r="K464" s="2396"/>
      <c r="L464" s="2402"/>
      <c r="M464" s="2396"/>
      <c r="N464" s="2396"/>
      <c r="O464" s="2396"/>
      <c r="P464" s="2396"/>
      <c r="Q464" s="2396"/>
      <c r="R464" s="2396"/>
      <c r="S464" s="2396"/>
    </row>
    <row r="465" spans="2:19" ht="14.25">
      <c r="B465" s="2396"/>
      <c r="C465" s="2405"/>
      <c r="D465" s="2396"/>
      <c r="E465" s="2396"/>
      <c r="F465" s="2396"/>
      <c r="G465" s="2403" t="s">
        <v>472</v>
      </c>
      <c r="H465" s="2341" t="s">
        <v>4066</v>
      </c>
      <c r="I465" s="2401" t="s">
        <v>2453</v>
      </c>
      <c r="J465" s="2396"/>
      <c r="K465" s="2396"/>
      <c r="L465" s="2402"/>
      <c r="M465" s="2396"/>
      <c r="N465" s="2396"/>
      <c r="O465" s="2396"/>
      <c r="P465" s="2396"/>
      <c r="Q465" s="2396"/>
      <c r="R465" s="2396"/>
      <c r="S465" s="2396"/>
    </row>
    <row r="466" spans="2:19" ht="14.25">
      <c r="B466" s="2396"/>
      <c r="C466" s="2405"/>
      <c r="D466" s="2396"/>
      <c r="E466" s="2396"/>
      <c r="F466" s="2396"/>
      <c r="G466" s="2403" t="s">
        <v>1951</v>
      </c>
      <c r="H466" s="2341" t="s">
        <v>4066</v>
      </c>
      <c r="I466" s="2401" t="s">
        <v>2453</v>
      </c>
      <c r="J466" s="2396"/>
      <c r="K466" s="2396"/>
      <c r="L466" s="2402"/>
      <c r="M466" s="2396"/>
      <c r="N466" s="2396"/>
      <c r="O466" s="2396"/>
      <c r="P466" s="2396"/>
      <c r="Q466" s="2396"/>
      <c r="R466" s="2396"/>
      <c r="S466" s="2396"/>
    </row>
    <row r="467" spans="2:19" ht="14.25">
      <c r="B467" s="2396"/>
      <c r="C467" s="2405"/>
      <c r="D467" s="2396"/>
      <c r="E467" s="2396"/>
      <c r="F467" s="2396"/>
      <c r="G467" s="2403" t="s">
        <v>2088</v>
      </c>
      <c r="H467" s="2341">
        <v>2020</v>
      </c>
      <c r="I467" s="2341" t="s">
        <v>4065</v>
      </c>
      <c r="J467" s="2396"/>
      <c r="K467" s="2396"/>
      <c r="L467" s="2402"/>
      <c r="M467" s="2396"/>
      <c r="N467" s="2396"/>
      <c r="O467" s="2396"/>
      <c r="P467" s="2396"/>
      <c r="Q467" s="2396"/>
      <c r="R467" s="2396"/>
      <c r="S467" s="2396"/>
    </row>
    <row r="468" spans="2:19" ht="14.25">
      <c r="B468" s="2396"/>
      <c r="C468" s="2405"/>
      <c r="D468" s="2396"/>
      <c r="E468" s="2396"/>
      <c r="F468" s="2396"/>
      <c r="G468" s="2403" t="s">
        <v>1974</v>
      </c>
      <c r="H468" s="2341">
        <v>2020</v>
      </c>
      <c r="I468" s="2341" t="s">
        <v>4065</v>
      </c>
      <c r="J468" s="2396"/>
      <c r="K468" s="2396"/>
      <c r="L468" s="2396"/>
      <c r="M468" s="2396"/>
      <c r="N468" s="2396"/>
      <c r="O468" s="2396"/>
      <c r="P468" s="2396"/>
      <c r="Q468" s="2396"/>
      <c r="R468" s="2396"/>
      <c r="S468" s="2396"/>
    </row>
    <row r="469" spans="2:19" ht="14.25">
      <c r="B469" s="2396"/>
      <c r="C469" s="2396"/>
      <c r="D469" s="2396"/>
      <c r="E469" s="2396"/>
      <c r="F469" s="2396"/>
      <c r="G469" s="2403" t="s">
        <v>2154</v>
      </c>
      <c r="H469" s="2341">
        <v>2019</v>
      </c>
      <c r="I469" s="2341" t="s">
        <v>4065</v>
      </c>
      <c r="J469" s="2396"/>
      <c r="K469" s="2396"/>
      <c r="L469" s="2396"/>
      <c r="M469" s="2396"/>
      <c r="N469" s="2396"/>
      <c r="O469" s="2396"/>
      <c r="P469" s="2396"/>
      <c r="Q469" s="2396"/>
      <c r="R469" s="2396"/>
      <c r="S469" s="2396"/>
    </row>
    <row r="470" spans="2:19">
      <c r="B470" s="2396"/>
      <c r="C470" s="2396"/>
      <c r="D470" s="2396"/>
      <c r="E470" s="2396"/>
      <c r="F470" s="2396"/>
      <c r="G470" s="2403" t="s">
        <v>4061</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1574</v>
      </c>
      <c r="H471" s="2341">
        <v>2019</v>
      </c>
      <c r="I471" s="2341" t="s">
        <v>4065</v>
      </c>
      <c r="J471" s="2396"/>
      <c r="K471" s="2396"/>
      <c r="L471" s="2396"/>
      <c r="M471" s="2396"/>
      <c r="N471" s="2341"/>
      <c r="O471" s="2398"/>
      <c r="P471" s="2398"/>
      <c r="Q471" s="2396"/>
      <c r="R471" s="2396"/>
      <c r="S471" s="2396"/>
    </row>
    <row r="472" spans="2:19">
      <c r="B472" s="2396"/>
      <c r="C472" s="2396"/>
      <c r="D472" s="2396"/>
      <c r="E472" s="2396"/>
      <c r="F472" s="2396"/>
      <c r="G472" s="2403" t="s">
        <v>1577</v>
      </c>
      <c r="H472" s="2341">
        <v>2020</v>
      </c>
      <c r="I472" s="2341" t="s">
        <v>4065</v>
      </c>
      <c r="J472" s="2396"/>
      <c r="K472" s="2396"/>
      <c r="L472" s="2396"/>
      <c r="M472" s="2396"/>
      <c r="N472" s="2341"/>
      <c r="O472" s="2398"/>
      <c r="P472" s="2398"/>
      <c r="Q472" s="2396"/>
      <c r="R472" s="2396"/>
      <c r="S472" s="2396"/>
    </row>
    <row r="473" spans="2:19">
      <c r="B473" s="2396"/>
      <c r="C473" s="2396"/>
      <c r="D473" s="2396"/>
      <c r="E473" s="2396"/>
      <c r="F473" s="2396"/>
      <c r="G473" s="2403" t="s">
        <v>1582</v>
      </c>
      <c r="H473" s="2341">
        <v>2020</v>
      </c>
      <c r="I473" s="2341" t="s">
        <v>4065</v>
      </c>
      <c r="J473" s="2396"/>
      <c r="K473" s="2396"/>
      <c r="L473" s="2396"/>
      <c r="M473" s="2396"/>
      <c r="N473" s="2341"/>
      <c r="O473" s="2398"/>
      <c r="P473" s="2398"/>
      <c r="Q473" s="2396"/>
      <c r="R473" s="2396"/>
      <c r="S473" s="2396"/>
    </row>
    <row r="474" spans="2:19">
      <c r="B474" s="2396"/>
      <c r="C474" s="2396"/>
      <c r="D474" s="2396"/>
      <c r="E474" s="2396"/>
      <c r="F474" s="2396"/>
      <c r="G474" s="2403" t="s">
        <v>1590</v>
      </c>
      <c r="H474" s="2341">
        <v>2020</v>
      </c>
      <c r="I474" s="2341" t="s">
        <v>4065</v>
      </c>
      <c r="J474" s="2396"/>
      <c r="K474" s="2396"/>
      <c r="L474" s="2396"/>
      <c r="M474" s="2396"/>
      <c r="N474" s="2341"/>
      <c r="O474" s="2398"/>
      <c r="P474" s="2398"/>
      <c r="Q474" s="2396"/>
      <c r="R474" s="2396"/>
      <c r="S474" s="2396"/>
    </row>
    <row r="475" spans="2:19">
      <c r="B475" s="2396"/>
      <c r="C475" s="2396"/>
      <c r="D475" s="2396"/>
      <c r="E475" s="2396"/>
      <c r="F475" s="2396"/>
      <c r="G475" s="2403" t="s">
        <v>1591</v>
      </c>
      <c r="H475" s="2341">
        <v>2019</v>
      </c>
      <c r="I475" s="2341" t="s">
        <v>4065</v>
      </c>
      <c r="J475" s="2396"/>
      <c r="K475" s="2396"/>
      <c r="L475" s="2396"/>
      <c r="M475" s="2396"/>
      <c r="N475" s="2341"/>
      <c r="O475" s="2398"/>
      <c r="P475" s="2398"/>
      <c r="Q475" s="2396"/>
      <c r="R475" s="2396"/>
      <c r="S475" s="2396"/>
    </row>
    <row r="476" spans="2:19">
      <c r="B476" s="2396"/>
      <c r="C476" s="2396"/>
      <c r="D476" s="2396"/>
      <c r="E476" s="2396"/>
      <c r="F476" s="2396"/>
      <c r="G476" s="2403" t="s">
        <v>100</v>
      </c>
      <c r="H476" s="2341">
        <v>2020</v>
      </c>
      <c r="I476" s="2341" t="s">
        <v>4065</v>
      </c>
      <c r="J476" s="2396"/>
      <c r="K476" s="2396"/>
      <c r="L476" s="2396"/>
      <c r="M476" s="2396"/>
      <c r="N476" s="2341"/>
      <c r="O476" s="2398"/>
      <c r="P476" s="2398"/>
      <c r="Q476" s="2396"/>
      <c r="R476" s="2396"/>
      <c r="S476" s="2396"/>
    </row>
    <row r="477" spans="2:19">
      <c r="B477" s="2396"/>
      <c r="C477" s="2396"/>
      <c r="D477" s="2396"/>
      <c r="E477" s="2396"/>
      <c r="F477" s="2396"/>
      <c r="G477" s="2403" t="s">
        <v>285</v>
      </c>
      <c r="H477" s="2341">
        <v>2020</v>
      </c>
      <c r="I477" s="2341" t="s">
        <v>4065</v>
      </c>
      <c r="J477" s="2396"/>
      <c r="K477" s="2396"/>
      <c r="L477" s="2396"/>
      <c r="M477" s="2396"/>
      <c r="N477" s="2341"/>
      <c r="O477" s="2398"/>
      <c r="P477" s="2398"/>
      <c r="Q477" s="2396"/>
      <c r="R477" s="2396"/>
      <c r="S477" s="2396"/>
    </row>
    <row r="478" spans="2:19">
      <c r="B478" s="2396"/>
      <c r="C478" s="2396"/>
      <c r="D478" s="2396"/>
      <c r="E478" s="2396"/>
      <c r="F478" s="2396"/>
      <c r="G478" s="2403" t="s">
        <v>1442</v>
      </c>
      <c r="H478" s="2341" t="s">
        <v>4066</v>
      </c>
      <c r="I478" s="2401" t="s">
        <v>2453</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disablePrompts="1"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U13" sqref="U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6926</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3191</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ht="16.5">
      <c r="A38" s="4101"/>
      <c r="B38" s="4101"/>
      <c r="C38" s="4101"/>
      <c r="D38" s="4101"/>
      <c r="E38" s="4101"/>
      <c r="F38" s="4101"/>
      <c r="G38" s="813"/>
      <c r="H38" s="4102"/>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4" t="s">
        <v>868</v>
      </c>
      <c r="I41" s="4104"/>
      <c r="J41" s="4104"/>
      <c r="K41" s="4104"/>
      <c r="L41" s="4104"/>
      <c r="M41" s="410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abSelected="1" topLeftCell="A52"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27" t="str">
        <f>'Part I-Project Identification'!F25</f>
        <v>Helix</v>
      </c>
      <c r="E3" s="4128"/>
      <c r="F3" s="4128"/>
      <c r="G3" s="4128"/>
      <c r="H3" s="4128"/>
      <c r="I3" s="4128"/>
      <c r="J3" s="4129" t="s">
        <v>6170</v>
      </c>
      <c r="K3" s="4130"/>
    </row>
    <row r="4" spans="1:11" ht="15" customHeight="1">
      <c r="A4" s="1332" t="s">
        <v>3968</v>
      </c>
      <c r="B4" s="1333"/>
      <c r="C4" s="1334"/>
      <c r="D4" s="4131"/>
      <c r="E4" s="4132"/>
      <c r="F4" s="4132"/>
      <c r="G4" s="4132"/>
      <c r="H4" s="4132"/>
      <c r="I4" s="4132"/>
      <c r="J4" s="4133" t="s">
        <v>4009</v>
      </c>
      <c r="K4" s="4134"/>
    </row>
    <row r="5" spans="1:11" ht="15" customHeight="1" thickBot="1">
      <c r="A5" s="1335" t="s">
        <v>3969</v>
      </c>
      <c r="B5" s="1336"/>
      <c r="C5" s="1337"/>
      <c r="D5" s="4137"/>
      <c r="E5" s="4138"/>
      <c r="F5" s="4138"/>
      <c r="G5" s="4138"/>
      <c r="H5" s="4138"/>
      <c r="I5" s="4138"/>
      <c r="J5" s="4135"/>
      <c r="K5" s="4136"/>
    </row>
    <row r="6" spans="1:11" ht="9" customHeight="1" thickBot="1">
      <c r="E6" s="1327"/>
    </row>
    <row r="7" spans="1:11">
      <c r="A7" s="4119" t="s">
        <v>3971</v>
      </c>
      <c r="B7" s="4120"/>
      <c r="C7" s="4120"/>
      <c r="D7" s="4120"/>
      <c r="E7" s="4120"/>
      <c r="F7" s="4120"/>
      <c r="G7" s="4120"/>
      <c r="H7" s="4120"/>
      <c r="I7" s="4120"/>
      <c r="J7" s="4120"/>
      <c r="K7" s="4121"/>
    </row>
    <row r="8" spans="1:11" ht="14.25" customHeight="1">
      <c r="A8" s="1333"/>
      <c r="B8" s="1333"/>
      <c r="C8" s="1567">
        <v>1</v>
      </c>
      <c r="D8" s="1352" t="s">
        <v>3972</v>
      </c>
      <c r="E8" s="1352"/>
      <c r="F8" s="1352"/>
      <c r="G8" s="1352"/>
      <c r="H8" s="1352"/>
      <c r="I8" s="1352"/>
      <c r="J8" s="4117"/>
      <c r="K8" s="4118"/>
    </row>
    <row r="9" spans="1:11" ht="7.15" customHeight="1">
      <c r="A9" s="4122"/>
      <c r="B9" s="4122"/>
      <c r="C9" s="4122"/>
      <c r="D9" s="4123"/>
      <c r="E9" s="4123"/>
      <c r="F9" s="4123"/>
      <c r="G9" s="4123"/>
      <c r="H9" s="4123"/>
      <c r="I9" s="4123"/>
      <c r="J9" s="4123"/>
      <c r="K9" s="1353"/>
    </row>
    <row r="10" spans="1:11">
      <c r="A10" s="4124" t="s">
        <v>3973</v>
      </c>
      <c r="B10" s="4125"/>
      <c r="C10" s="4125"/>
      <c r="D10" s="4125"/>
      <c r="E10" s="4125"/>
      <c r="F10" s="4125"/>
      <c r="G10" s="4125"/>
      <c r="H10" s="4125"/>
      <c r="I10" s="4125"/>
      <c r="J10" s="4125"/>
      <c r="K10" s="4126"/>
    </row>
    <row r="11" spans="1:11" ht="14.25" customHeight="1">
      <c r="A11" s="1333"/>
      <c r="B11" s="1333"/>
      <c r="C11" s="1567">
        <v>2</v>
      </c>
      <c r="D11" s="1352" t="s">
        <v>3974</v>
      </c>
      <c r="E11" s="1354"/>
      <c r="F11" s="1354"/>
      <c r="G11" s="1354"/>
      <c r="H11" s="1354"/>
      <c r="I11" s="1354"/>
      <c r="J11" s="4115"/>
      <c r="K11" s="4116"/>
    </row>
    <row r="12" spans="1:11" ht="7.15" customHeight="1">
      <c r="A12" s="4122"/>
      <c r="B12" s="4122"/>
      <c r="C12" s="4122"/>
      <c r="D12" s="4123"/>
      <c r="E12" s="4123"/>
      <c r="F12" s="4123"/>
      <c r="G12" s="4123"/>
      <c r="H12" s="4123"/>
      <c r="I12" s="4123"/>
      <c r="J12" s="4123"/>
      <c r="K12" s="1355"/>
    </row>
    <row r="13" spans="1:11">
      <c r="A13" s="4124" t="s">
        <v>3975</v>
      </c>
      <c r="B13" s="4125"/>
      <c r="C13" s="4125"/>
      <c r="D13" s="4125"/>
      <c r="E13" s="4125"/>
      <c r="F13" s="4125"/>
      <c r="G13" s="4125"/>
      <c r="H13" s="4125"/>
      <c r="I13" s="4125"/>
      <c r="J13" s="4125"/>
      <c r="K13" s="4126"/>
    </row>
    <row r="14" spans="1:11" ht="14.25" customHeight="1">
      <c r="A14" s="1333"/>
      <c r="B14" s="1333"/>
      <c r="C14" s="1568">
        <v>3</v>
      </c>
      <c r="D14" s="1356" t="s">
        <v>3976</v>
      </c>
      <c r="E14" s="1356"/>
      <c r="F14" s="1356"/>
      <c r="G14" s="1356"/>
      <c r="H14" s="1356"/>
      <c r="I14" s="1356"/>
      <c r="J14" s="4113"/>
      <c r="K14" s="4114"/>
    </row>
    <row r="15" spans="1:11" ht="14.25" customHeight="1">
      <c r="A15" s="1333"/>
      <c r="B15" s="1333"/>
      <c r="C15" s="1569">
        <v>4</v>
      </c>
      <c r="D15" s="1333" t="s">
        <v>3977</v>
      </c>
      <c r="E15" s="1333"/>
      <c r="F15" s="1333"/>
      <c r="G15" s="1333"/>
      <c r="H15" s="1333"/>
      <c r="I15" s="1333"/>
      <c r="J15" s="4111"/>
      <c r="K15" s="4112"/>
    </row>
    <row r="16" spans="1:11" ht="14.25" customHeight="1">
      <c r="A16" s="1333"/>
      <c r="B16" s="1333"/>
      <c r="C16" s="1569">
        <v>5</v>
      </c>
      <c r="D16" s="1333" t="s">
        <v>3978</v>
      </c>
      <c r="E16" s="1333"/>
      <c r="F16" s="1333"/>
      <c r="G16" s="1333"/>
      <c r="H16" s="1333"/>
      <c r="I16" s="1333"/>
      <c r="J16" s="4111"/>
      <c r="K16" s="4112"/>
    </row>
    <row r="17" spans="1:13" ht="14.25" customHeight="1">
      <c r="A17" s="1333"/>
      <c r="B17" s="1333"/>
      <c r="C17" s="1570">
        <v>6</v>
      </c>
      <c r="D17" s="1336" t="s">
        <v>3979</v>
      </c>
      <c r="E17" s="1336"/>
      <c r="F17" s="1336"/>
      <c r="G17" s="1336"/>
      <c r="H17" s="1336"/>
      <c r="I17" s="1336"/>
      <c r="J17" s="4188"/>
      <c r="K17" s="418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3980</v>
      </c>
      <c r="E19" s="1356"/>
      <c r="F19" s="1356"/>
      <c r="G19" s="1356"/>
      <c r="H19" s="1356"/>
      <c r="I19" s="1356"/>
      <c r="J19" s="4186" t="str">
        <f>IF(J17="No",J14-J15,IF(J17="Yes",J14-J15-J16,"Error"))</f>
        <v>Error</v>
      </c>
      <c r="K19" s="4187"/>
    </row>
    <row r="20" spans="1:13" ht="14.25" customHeight="1">
      <c r="A20" s="1333"/>
      <c r="B20" s="1333"/>
      <c r="C20" s="1570">
        <v>8</v>
      </c>
      <c r="D20" s="1336" t="s">
        <v>3981</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3982</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4013</v>
      </c>
      <c r="B30" s="4145"/>
      <c r="C30" s="4145"/>
      <c r="D30" s="4145"/>
      <c r="E30" s="4145"/>
      <c r="F30" s="4145"/>
      <c r="G30" s="4145"/>
      <c r="H30" s="4145"/>
      <c r="I30" s="4145"/>
      <c r="J30" s="4145"/>
      <c r="K30" s="4146"/>
    </row>
    <row r="31" spans="1:13">
      <c r="B31" s="4147" t="s">
        <v>6170</v>
      </c>
      <c r="C31" s="4147"/>
      <c r="D31" s="4147"/>
      <c r="E31" s="4147"/>
      <c r="F31" s="4147"/>
      <c r="G31" s="4148" t="s">
        <v>3984</v>
      </c>
      <c r="H31" s="4149"/>
      <c r="I31" s="4149"/>
      <c r="J31" s="4149"/>
      <c r="K31" s="4150"/>
    </row>
    <row r="32" spans="1:13" ht="56.25" customHeight="1">
      <c r="A32" s="1351"/>
      <c r="B32" s="1369" t="s">
        <v>4012</v>
      </c>
      <c r="C32" s="1370" t="s">
        <v>4008</v>
      </c>
      <c r="D32" s="1370" t="s">
        <v>4007</v>
      </c>
      <c r="E32" s="4151" t="s">
        <v>6098</v>
      </c>
      <c r="F32" s="4152"/>
      <c r="G32" s="1371" t="s">
        <v>3985</v>
      </c>
      <c r="H32" s="1371" t="s">
        <v>3986</v>
      </c>
      <c r="J32" s="1371" t="s">
        <v>3987</v>
      </c>
      <c r="K32" s="1371" t="s">
        <v>3988</v>
      </c>
      <c r="L32" s="4139" t="s">
        <v>3989</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3990</v>
      </c>
      <c r="H52" s="1372" t="e">
        <f>SUM(H33:H51)</f>
        <v>#VALUE!</v>
      </c>
      <c r="I52" s="1356"/>
      <c r="J52" s="1362" t="s">
        <v>3991</v>
      </c>
      <c r="K52" s="1358" t="e">
        <f>SUM(K33:K51)</f>
        <v>#VALUE!</v>
      </c>
      <c r="L52" s="4139"/>
      <c r="M52" s="4139"/>
    </row>
    <row r="53" spans="1:13" ht="15" customHeight="1">
      <c r="B53" s="1363"/>
      <c r="C53" s="4158" t="s">
        <v>3992</v>
      </c>
      <c r="D53" s="4158"/>
      <c r="E53" s="4158"/>
      <c r="F53" s="4158"/>
      <c r="G53" s="4158"/>
      <c r="H53" s="4158"/>
      <c r="I53" s="4158"/>
      <c r="J53" s="4159"/>
      <c r="K53" s="1364" t="str">
        <f>IF(J17="no",0,IF(J17="yes",J16,"Error"))</f>
        <v>Error</v>
      </c>
      <c r="L53" s="4139"/>
      <c r="M53" s="4139"/>
    </row>
    <row r="54" spans="1:13" ht="15" customHeight="1" thickBot="1">
      <c r="B54" s="1363"/>
      <c r="C54" s="4160" t="s">
        <v>3993</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4" t="s">
        <v>4011</v>
      </c>
      <c r="F57" s="4165"/>
      <c r="G57" s="4166" t="s">
        <v>3996</v>
      </c>
      <c r="H57" s="4167"/>
      <c r="I57" s="4164" t="s">
        <v>4010</v>
      </c>
      <c r="J57" s="4165"/>
      <c r="K57" s="4168"/>
    </row>
    <row r="58" spans="1:13" ht="15" customHeight="1">
      <c r="A58" s="1465"/>
      <c r="B58" s="1381"/>
      <c r="C58" s="1359">
        <f>SUMIF(C33:C51, "0", H33:H51)</f>
        <v>0</v>
      </c>
      <c r="D58" s="1484">
        <f t="shared" ref="D58:D63" si="4">ROUNDUP(C58*1.1,0)</f>
        <v>0</v>
      </c>
      <c r="E58" s="4170" t="s">
        <v>3997</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2462</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2463</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2466</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3998</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3999</v>
      </c>
      <c r="F63" s="4180"/>
      <c r="G63" s="4172">
        <f>'DCA Underwriting Assumptions'!H133</f>
        <v>316236</v>
      </c>
      <c r="H63" s="4173"/>
      <c r="I63" s="4181">
        <f t="shared" si="5"/>
        <v>0</v>
      </c>
      <c r="J63" s="4181"/>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63"/>
      <c r="B65" s="4163"/>
      <c r="C65" s="4163"/>
      <c r="D65" s="4163"/>
      <c r="E65" s="4163"/>
      <c r="F65" s="4163"/>
      <c r="G65" s="4163"/>
      <c r="H65" s="4163"/>
      <c r="I65" s="4163"/>
      <c r="J65" s="4163"/>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78" t="s">
        <v>4006</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Helix, Riverdale, Clayton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6530</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6529</v>
      </c>
      <c r="M5" s="1807" t="str">
        <f>'Part I-Project Identification'!$F$12</f>
        <v>9% Credit Competitive Round only</v>
      </c>
      <c r="N5" s="1808"/>
      <c r="O5" s="1809"/>
      <c r="P5" s="4283"/>
      <c r="Q5" s="4194"/>
      <c r="R5" s="1604"/>
      <c r="S5" s="1604"/>
    </row>
    <row r="6" spans="1:19" ht="17.25" customHeight="1">
      <c r="A6" s="96" t="s">
        <v>6528</v>
      </c>
      <c r="I6" s="490"/>
      <c r="J6" s="490"/>
      <c r="K6" s="4278" t="s">
        <v>3280</v>
      </c>
      <c r="L6" s="4278"/>
      <c r="M6" s="4278"/>
      <c r="N6" s="4278"/>
      <c r="O6" s="4279"/>
      <c r="P6" s="4273"/>
      <c r="Q6" s="4274"/>
      <c r="R6" s="1604"/>
      <c r="S6" s="1604"/>
    </row>
    <row r="7" spans="1:19" ht="12.6" customHeight="1">
      <c r="A7" s="97" t="s">
        <v>3066</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16"/>
      <c r="Q27" s="4205"/>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6"/>
      <c r="Q34" s="4205"/>
    </row>
    <row r="35" spans="1:31" ht="12.75" customHeight="1">
      <c r="A35" s="2"/>
      <c r="B35" s="108" t="s">
        <v>6640</v>
      </c>
      <c r="C35" s="4"/>
      <c r="D35" s="4"/>
      <c r="E35" s="887"/>
      <c r="F35" s="887"/>
      <c r="H35" s="887"/>
      <c r="J35" s="3060" t="s">
        <v>6464</v>
      </c>
      <c r="K35" s="3061"/>
      <c r="L35" s="3062"/>
      <c r="M35" s="147" t="s">
        <v>1647</v>
      </c>
      <c r="N35" s="4369"/>
      <c r="O35" s="4370"/>
      <c r="P35" s="4370"/>
      <c r="Q35" s="4371"/>
    </row>
    <row r="36" spans="1:31" ht="12.75" customHeight="1">
      <c r="A36" s="2"/>
      <c r="B36" s="108" t="s">
        <v>6639</v>
      </c>
      <c r="C36" s="4"/>
      <c r="D36" s="4"/>
      <c r="E36" s="887"/>
      <c r="F36" s="887"/>
      <c r="G36" s="1664"/>
      <c r="H36" s="887"/>
      <c r="J36" s="3060" t="s">
        <v>6465</v>
      </c>
      <c r="K36" s="3061"/>
      <c r="L36" s="3062"/>
      <c r="M36" s="147" t="s">
        <v>1647</v>
      </c>
      <c r="N36" s="4369"/>
      <c r="O36" s="4370"/>
      <c r="P36" s="4370"/>
      <c r="Q36" s="4371"/>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16"/>
      <c r="Q40" s="4205"/>
    </row>
    <row r="41" spans="1:31" ht="1.5" customHeight="1"/>
    <row r="42" spans="1:31" ht="12" customHeight="1">
      <c r="A42" s="110" t="s">
        <v>1841</v>
      </c>
      <c r="B42" s="4198" t="s">
        <v>3783</v>
      </c>
      <c r="C42" s="4198"/>
      <c r="D42" s="4198"/>
      <c r="E42" s="4198"/>
      <c r="F42" s="4198"/>
      <c r="G42" s="4198"/>
      <c r="H42" s="4198"/>
      <c r="I42" s="4198"/>
      <c r="J42" s="4198"/>
      <c r="K42" s="115"/>
      <c r="L42" s="347" t="s">
        <v>2580</v>
      </c>
      <c r="M42" s="1203">
        <v>2</v>
      </c>
      <c r="N42" s="108" t="s">
        <v>4020</v>
      </c>
      <c r="P42" s="4238"/>
      <c r="Q42" s="4250"/>
    </row>
    <row r="43" spans="1:31" ht="12" customHeight="1">
      <c r="A43" s="110"/>
      <c r="B43" s="4198"/>
      <c r="C43" s="4198"/>
      <c r="D43" s="4198"/>
      <c r="E43" s="4198"/>
      <c r="F43" s="4198"/>
      <c r="G43" s="4198"/>
      <c r="H43" s="4198"/>
      <c r="I43" s="4198"/>
      <c r="J43" s="4198"/>
      <c r="K43" s="115"/>
      <c r="L43" s="347" t="s">
        <v>3787</v>
      </c>
      <c r="M43" s="1204">
        <v>4</v>
      </c>
      <c r="O43" s="111"/>
      <c r="P43" s="4239"/>
      <c r="Q43" s="4251"/>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61"/>
      <c r="M50" s="4262"/>
      <c r="N50" s="4262"/>
      <c r="O50" s="4262"/>
      <c r="P50" s="4262"/>
      <c r="Q50" s="4263"/>
    </row>
    <row r="51" spans="1:31" ht="12.75" customHeight="1">
      <c r="A51" s="112"/>
      <c r="B51" s="372" t="s">
        <v>1448</v>
      </c>
      <c r="C51" s="4198" t="s">
        <v>3793</v>
      </c>
      <c r="D51" s="4198"/>
      <c r="E51" s="4198"/>
      <c r="F51" s="4198"/>
      <c r="G51" s="4198"/>
      <c r="H51" s="4198"/>
      <c r="I51" s="4198"/>
      <c r="J51" s="4198"/>
      <c r="K51" s="4198"/>
      <c r="L51" s="4198"/>
      <c r="M51" s="413"/>
      <c r="N51" s="108" t="s">
        <v>4025</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3945</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3948</v>
      </c>
      <c r="D84" s="4198"/>
      <c r="E84" s="4198"/>
      <c r="F84" s="4198"/>
      <c r="G84" s="4198"/>
      <c r="H84" s="4198"/>
      <c r="I84" s="4198"/>
      <c r="J84" s="4198"/>
      <c r="K84" s="4198"/>
      <c r="L84" s="4198"/>
      <c r="M84" s="4198"/>
      <c r="N84" s="4198"/>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6531</v>
      </c>
      <c r="O92" s="101" t="s">
        <v>1731</v>
      </c>
      <c r="P92" s="4216"/>
      <c r="Q92" s="4205"/>
      <c r="R92" s="860" t="s">
        <v>6518</v>
      </c>
    </row>
    <row r="93" spans="1:31" ht="6.6" customHeight="1"/>
    <row r="94" spans="1:31">
      <c r="A94" s="40" t="s">
        <v>1841</v>
      </c>
      <c r="B94" s="29" t="s">
        <v>6185</v>
      </c>
      <c r="D94" s="103"/>
      <c r="E94" s="103"/>
      <c r="F94" s="103"/>
      <c r="G94" s="103"/>
      <c r="H94" s="103"/>
      <c r="I94" s="35"/>
      <c r="J94" s="35"/>
      <c r="K94" s="48" t="s">
        <v>1841</v>
      </c>
      <c r="L94" s="4348"/>
      <c r="M94" s="4348"/>
      <c r="N94" s="4348"/>
      <c r="O94" s="4348"/>
      <c r="P94" s="4349"/>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16"/>
      <c r="Q130" s="4205"/>
      <c r="R130" s="860" t="s">
        <v>6518</v>
      </c>
    </row>
    <row r="131" spans="1:31" ht="12" customHeight="1">
      <c r="A131" s="40" t="s">
        <v>1841</v>
      </c>
      <c r="B131" s="113" t="s">
        <v>1614</v>
      </c>
      <c r="C131" s="29" t="s">
        <v>6533</v>
      </c>
      <c r="D131" s="29"/>
      <c r="E131" s="29"/>
      <c r="F131" s="29"/>
      <c r="G131" s="29"/>
      <c r="K131" s="29" t="s">
        <v>2460</v>
      </c>
      <c r="M131" s="4240"/>
      <c r="N131" s="4241"/>
      <c r="O131" s="49" t="s">
        <v>1614</v>
      </c>
      <c r="P131" s="74"/>
      <c r="Q131" s="417"/>
    </row>
    <row r="132" spans="1:31" ht="12" customHeight="1">
      <c r="A132" s="40"/>
      <c r="B132" s="113" t="s">
        <v>1615</v>
      </c>
      <c r="C132" s="29" t="s">
        <v>4054</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8" t="s">
        <v>6839</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6191</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3232</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3798</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3233</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3831</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6531</v>
      </c>
      <c r="O151" s="101" t="s">
        <v>1731</v>
      </c>
      <c r="P151" s="4216"/>
      <c r="Q151" s="4205"/>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3234</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3305</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16"/>
      <c r="Q169" s="4205"/>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3239</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16"/>
      <c r="Q177" s="4205"/>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6192</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90</v>
      </c>
      <c r="P197" s="4225" t="s">
        <v>3854</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7" t="s">
        <v>950</v>
      </c>
      <c r="D199" s="4228"/>
      <c r="E199" s="4228"/>
      <c r="F199" s="4228"/>
      <c r="G199" s="4229"/>
      <c r="H199" s="48" t="s">
        <v>1963</v>
      </c>
      <c r="I199" s="4202" t="s">
        <v>3400</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3400</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47" t="s">
        <v>950</v>
      </c>
      <c r="D202" s="4248"/>
      <c r="E202" s="4248"/>
      <c r="F202" s="4248"/>
      <c r="G202" s="4249"/>
      <c r="H202" s="48" t="s">
        <v>3864</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6743</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16"/>
      <c r="Q217" s="4205"/>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8" t="s">
        <v>6114</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6194</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6205</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8" t="s">
        <v>6206</v>
      </c>
      <c r="D244" s="4198"/>
      <c r="E244" s="4198"/>
      <c r="F244" s="4198"/>
      <c r="G244" s="4198"/>
      <c r="H244" s="4198"/>
      <c r="I244" s="4198"/>
      <c r="J244" s="4198"/>
      <c r="K244" s="4198"/>
      <c r="L244" s="4198"/>
      <c r="M244" s="4198"/>
      <c r="N244" s="419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3244</v>
      </c>
      <c r="C246" s="4358"/>
      <c r="D246" s="4358"/>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6501</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8" t="s">
        <v>4029</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4055</v>
      </c>
      <c r="D260" s="4198"/>
      <c r="E260" s="4198"/>
      <c r="F260" s="4198"/>
      <c r="G260" s="4198"/>
      <c r="H260" s="4198"/>
      <c r="I260" s="4198"/>
      <c r="J260" s="4198"/>
      <c r="K260" s="4198"/>
      <c r="L260" s="4198"/>
      <c r="M260" s="4198"/>
      <c r="N260" s="4198"/>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8" t="s">
        <v>6119</v>
      </c>
      <c r="C262" s="4198"/>
      <c r="D262" s="4198"/>
      <c r="E262" s="4198"/>
      <c r="F262" s="4198"/>
      <c r="G262" s="4198"/>
      <c r="H262" s="4198"/>
      <c r="I262" s="4198"/>
      <c r="J262" s="4198"/>
      <c r="K262" s="4198"/>
      <c r="L262" s="4198"/>
      <c r="M262" s="4198"/>
      <c r="N262" s="419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3846</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9" t="s">
        <v>3336</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6655</v>
      </c>
      <c r="D284" s="4198"/>
      <c r="E284" s="4198"/>
      <c r="F284" s="4198"/>
      <c r="G284" s="4198"/>
      <c r="H284" s="4198"/>
      <c r="I284" s="4198"/>
      <c r="J284" s="4198"/>
      <c r="K284" s="4198"/>
      <c r="L284" s="4198"/>
      <c r="M284" s="4198"/>
      <c r="N284" s="419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6656</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6200</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8" t="s">
        <v>6203</v>
      </c>
      <c r="E288" s="4198"/>
      <c r="F288" s="4198"/>
      <c r="G288" s="4198"/>
      <c r="H288" s="4198"/>
      <c r="I288" s="108"/>
      <c r="J288" s="4257" t="s">
        <v>3265</v>
      </c>
      <c r="K288" s="4225"/>
      <c r="L288" s="4225"/>
      <c r="M288" s="4270" t="s">
        <v>3246</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3386</v>
      </c>
      <c r="K290" s="1595"/>
      <c r="L290" s="795" t="str">
        <f>IF(K290&lt;M290,"Check!!!","")</f>
        <v>Check!!!</v>
      </c>
      <c r="M290" s="1597">
        <f>ROUNDUP('Part V-Revenues &amp; Expenses'!$P$67*'Part VII-Threshold Criteria OLD'!N290,0)</f>
        <v>5</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8" t="s">
        <v>6204</v>
      </c>
      <c r="E291" s="4198"/>
      <c r="F291" s="4198"/>
      <c r="G291" s="4198"/>
      <c r="H291" s="4198"/>
      <c r="I291" s="370" t="s">
        <v>3387</v>
      </c>
      <c r="J291" s="144"/>
      <c r="K291" s="1596"/>
      <c r="L291" s="795" t="str">
        <f>IF(K291&lt;M291,"Check!!!","")</f>
        <v/>
      </c>
      <c r="M291" s="1598">
        <f>ROUNDUP(K290*'Part VII-Threshold Criteria OLD'!N291,0)</f>
        <v>0</v>
      </c>
      <c r="N291" s="1205">
        <f>'DCA Underwriting Assumptions'!$Q$123</f>
        <v>0.4</v>
      </c>
      <c r="O291" s="48" t="s">
        <v>1964</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6740</v>
      </c>
      <c r="D293" s="4198"/>
      <c r="E293" s="4198"/>
      <c r="F293" s="4198"/>
      <c r="G293" s="4198"/>
      <c r="H293" s="4198"/>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6718</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6657</v>
      </c>
      <c r="D299" s="4198"/>
      <c r="E299" s="4198"/>
      <c r="F299" s="4198"/>
      <c r="G299" s="4198"/>
      <c r="H299" s="4198"/>
      <c r="I299" s="4198"/>
      <c r="J299" s="4198"/>
      <c r="K299" s="4198"/>
      <c r="L299" s="4198"/>
      <c r="M299" s="4198"/>
      <c r="N299" s="4198"/>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3832</v>
      </c>
      <c r="D300" s="4198"/>
      <c r="E300" s="4198"/>
      <c r="F300" s="4198"/>
      <c r="G300" s="4198"/>
      <c r="H300" s="4198"/>
      <c r="I300" s="4198"/>
      <c r="J300" s="4198"/>
      <c r="K300" s="4198"/>
      <c r="L300" s="4198"/>
      <c r="M300" s="4198"/>
      <c r="N300" s="4198"/>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3168</v>
      </c>
      <c r="D301" s="4198"/>
      <c r="E301" s="4198"/>
      <c r="F301" s="4198"/>
      <c r="G301" s="4198"/>
      <c r="H301" s="4198"/>
      <c r="I301" s="4198"/>
      <c r="J301" s="4198"/>
      <c r="K301" s="4198"/>
      <c r="L301" s="4198"/>
      <c r="M301" s="4198"/>
      <c r="N301" s="4198"/>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8" t="s">
        <v>3169</v>
      </c>
      <c r="D302" s="4198"/>
      <c r="E302" s="4198"/>
      <c r="F302" s="4198"/>
      <c r="G302" s="4198"/>
      <c r="H302" s="4198"/>
      <c r="I302" s="4198"/>
      <c r="J302" s="4198"/>
      <c r="K302" s="4198"/>
      <c r="L302" s="4198"/>
      <c r="M302" s="4198"/>
      <c r="N302" s="4198"/>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6667</v>
      </c>
      <c r="C312" s="4198"/>
      <c r="D312" s="4198"/>
      <c r="E312" s="4198"/>
      <c r="F312" s="4198"/>
      <c r="G312" s="4198"/>
      <c r="H312" s="4198"/>
      <c r="I312" s="4198"/>
      <c r="J312" s="4198"/>
      <c r="K312" s="4198"/>
      <c r="L312" s="4198"/>
      <c r="M312" s="4198"/>
      <c r="N312" s="419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357" t="s">
        <v>6121</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8" t="s">
        <v>6122</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16"/>
      <c r="Q326" s="4205"/>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316" t="s">
        <v>1646</v>
      </c>
      <c r="O329" s="4317"/>
      <c r="P329" s="4318" t="s">
        <v>1646</v>
      </c>
      <c r="Q329" s="4319"/>
    </row>
    <row r="330" spans="1:256" ht="11.65" customHeight="1">
      <c r="A330" s="40" t="s">
        <v>1962</v>
      </c>
      <c r="B330" s="44" t="s">
        <v>6536</v>
      </c>
      <c r="O330" s="48" t="s">
        <v>1962</v>
      </c>
      <c r="P330" s="1400"/>
      <c r="Q330" s="1399"/>
    </row>
    <row r="331" spans="1:256" ht="11.65" customHeight="1">
      <c r="A331" s="110" t="s">
        <v>1612</v>
      </c>
      <c r="B331" s="44" t="s">
        <v>6537</v>
      </c>
      <c r="N331" s="128" t="s">
        <v>1612</v>
      </c>
      <c r="O331" s="4310" t="s">
        <v>2559</v>
      </c>
      <c r="P331" s="4311"/>
      <c r="Q331" s="4312"/>
    </row>
    <row r="332" spans="1:256" ht="11.65" customHeight="1">
      <c r="A332" s="110" t="s">
        <v>1613</v>
      </c>
      <c r="B332" s="67" t="s">
        <v>2170</v>
      </c>
      <c r="N332" s="128" t="s">
        <v>1613</v>
      </c>
      <c r="O332" s="4267" t="s">
        <v>2559</v>
      </c>
      <c r="P332" s="4268"/>
      <c r="Q332" s="4269"/>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8" t="s">
        <v>6685</v>
      </c>
      <c r="C341" s="4198"/>
      <c r="D341" s="4198"/>
      <c r="E341" s="4198"/>
      <c r="F341" s="4198"/>
      <c r="G341" s="4198"/>
      <c r="H341" s="4198"/>
      <c r="I341" s="4198"/>
      <c r="J341" s="4198"/>
      <c r="K341" s="4198"/>
      <c r="L341" s="4198"/>
      <c r="M341" s="4198"/>
      <c r="N341" s="4198"/>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90</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8" t="s">
        <v>6686</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20"/>
      <c r="C345" s="29" t="s">
        <v>1667</v>
      </c>
      <c r="D345" s="29"/>
      <c r="E345" s="1540">
        <f>'Part V-Revenues &amp; Expenses'!$P$67</f>
        <v>90</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6687</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90</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3358</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3359</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3350</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3351</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3353</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8" t="s">
        <v>3355</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3356</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65"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3201</v>
      </c>
      <c r="G374" s="889"/>
      <c r="H374" s="889"/>
      <c r="I374" s="889"/>
      <c r="J374" s="33" t="s">
        <v>3202</v>
      </c>
      <c r="L374" s="889"/>
      <c r="M374" s="4336">
        <f>'Part II-Sources of Funds'!I6</f>
        <v>0</v>
      </c>
      <c r="N374" s="4337"/>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50"/>
      <c r="Q391" s="4351"/>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8"/>
      <c r="Q395" s="4296"/>
    </row>
    <row r="396" spans="1:31" ht="12" customHeight="1">
      <c r="A396" s="40"/>
      <c r="D396" s="29" t="s">
        <v>6500</v>
      </c>
      <c r="E396" s="29"/>
      <c r="F396" s="29"/>
      <c r="G396" s="29"/>
      <c r="H396" s="29"/>
      <c r="I396" s="29"/>
      <c r="J396" s="29"/>
      <c r="K396" s="29"/>
      <c r="L396" s="29"/>
      <c r="M396" s="29"/>
      <c r="N396" s="35"/>
      <c r="O396" s="1398"/>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8" t="s">
        <v>6150</v>
      </c>
      <c r="D400" s="4198"/>
      <c r="E400" s="4198"/>
      <c r="F400" s="4198"/>
      <c r="G400" s="29" t="s">
        <v>3942</v>
      </c>
      <c r="J400" s="718"/>
      <c r="K400" s="426"/>
      <c r="M400" s="29" t="s">
        <v>6224</v>
      </c>
      <c r="P400" s="1760"/>
      <c r="Q400" s="1761"/>
    </row>
    <row r="401" spans="1:44" ht="12" customHeight="1">
      <c r="A401" s="40"/>
      <c r="C401" s="4198"/>
      <c r="D401" s="4198"/>
      <c r="E401" s="4198"/>
      <c r="F401" s="4198"/>
      <c r="G401" s="29" t="s">
        <v>6223</v>
      </c>
      <c r="J401" s="719"/>
      <c r="K401" s="427"/>
      <c r="M401" s="29" t="s">
        <v>6225</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6180</v>
      </c>
      <c r="J403" s="4257" t="s">
        <v>6181</v>
      </c>
      <c r="K403" s="4257" t="s">
        <v>6183</v>
      </c>
      <c r="L403" s="4257"/>
      <c r="M403" s="4257"/>
      <c r="N403" s="4338" t="s">
        <v>6182</v>
      </c>
      <c r="O403" s="48"/>
      <c r="P403" s="4190" t="s">
        <v>6697</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6294</v>
      </c>
      <c r="D405" s="4198"/>
      <c r="E405" s="4198"/>
      <c r="F405" s="4198"/>
      <c r="G405" s="4198"/>
      <c r="H405" s="4198"/>
      <c r="I405" s="365">
        <f>K290</f>
        <v>0</v>
      </c>
      <c r="J405" s="1762"/>
      <c r="K405" s="4340"/>
      <c r="L405" s="4340"/>
      <c r="M405" s="434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6295</v>
      </c>
      <c r="D411" s="4198"/>
      <c r="E411" s="4198"/>
      <c r="F411" s="4198"/>
      <c r="G411" s="4198"/>
      <c r="H411" s="4198"/>
      <c r="I411" s="365">
        <f>K293</f>
        <v>0</v>
      </c>
      <c r="J411" s="1762"/>
      <c r="K411" s="4340"/>
      <c r="L411" s="4340"/>
      <c r="M411" s="434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73" t="s">
        <v>6228</v>
      </c>
      <c r="E416" s="352" t="s">
        <v>2263</v>
      </c>
      <c r="F416" s="44" t="s">
        <v>3287</v>
      </c>
      <c r="G416" s="4352"/>
      <c r="H416" s="4353"/>
      <c r="I416" s="4353"/>
      <c r="J416" s="4353"/>
      <c r="K416" s="4354"/>
      <c r="L416" s="352"/>
    </row>
    <row r="417" spans="1:31" ht="12" customHeight="1">
      <c r="B417" s="115"/>
      <c r="D417" s="4373"/>
      <c r="E417" s="352" t="s">
        <v>3939</v>
      </c>
      <c r="F417" s="44" t="s">
        <v>3940</v>
      </c>
      <c r="G417" s="4327" t="s">
        <v>3204</v>
      </c>
      <c r="H417" s="4328"/>
      <c r="I417" s="4329"/>
      <c r="J417" s="44" t="s">
        <v>3801</v>
      </c>
      <c r="K417" s="115"/>
      <c r="M417" s="4352"/>
      <c r="N417" s="4353"/>
      <c r="O417" s="4353"/>
      <c r="P417" s="4353"/>
      <c r="Q417" s="4354"/>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344"/>
      <c r="C419" s="4345"/>
      <c r="D419" s="4345"/>
      <c r="E419" s="4345"/>
      <c r="F419" s="4345"/>
      <c r="G419" s="4345"/>
      <c r="H419" s="4345"/>
      <c r="I419" s="4345"/>
      <c r="J419" s="4345"/>
      <c r="K419" s="4345"/>
      <c r="L419" s="4345"/>
      <c r="M419" s="4345"/>
      <c r="N419" s="4345"/>
      <c r="O419" s="4345"/>
      <c r="P419" s="4345"/>
      <c r="Q419" s="434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4033</v>
      </c>
      <c r="C421" s="4198"/>
      <c r="D421" s="4198"/>
      <c r="E421" s="4198"/>
      <c r="F421" s="4198"/>
      <c r="G421" s="4198"/>
      <c r="H421" s="4198"/>
      <c r="I421" s="4198"/>
      <c r="J421" s="4198"/>
      <c r="K421" s="4198"/>
      <c r="L421" s="4198"/>
      <c r="M421" s="4198"/>
      <c r="N421" s="4198"/>
    </row>
    <row r="422" spans="1:31" s="115" customFormat="1" ht="45" customHeight="1">
      <c r="B422" s="4198" t="s">
        <v>6542</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3239</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6"/>
      <c r="Q428" s="4205"/>
    </row>
    <row r="429" spans="1:31" ht="14.1" customHeight="1">
      <c r="B429" s="66" t="s">
        <v>3896</v>
      </c>
      <c r="C429" s="4"/>
      <c r="D429" s="66"/>
      <c r="E429" s="887"/>
      <c r="F429" s="887"/>
      <c r="G429" s="887"/>
      <c r="H429" s="887"/>
    </row>
    <row r="430" spans="1:31" s="102" customFormat="1" ht="21.75" customHeight="1">
      <c r="A430" s="110" t="s">
        <v>1841</v>
      </c>
      <c r="B430" s="4198" t="s">
        <v>3311</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3310</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20" t="s">
        <v>1614</v>
      </c>
      <c r="C432" s="4198" t="s">
        <v>3866</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3868</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3869</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3312</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3917</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3918</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3951</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7" t="s">
        <v>6523</v>
      </c>
      <c r="B2" s="4387"/>
      <c r="C2" s="147"/>
      <c r="D2" s="795">
        <v>2021</v>
      </c>
      <c r="E2" s="144"/>
      <c r="F2" s="4422" t="s">
        <v>2999</v>
      </c>
      <c r="G2" s="4423"/>
      <c r="H2" s="4423"/>
      <c r="I2" s="4423"/>
      <c r="J2" s="4424"/>
      <c r="K2" s="234"/>
      <c r="L2" s="443" t="s">
        <v>3141</v>
      </c>
      <c r="M2" s="234"/>
      <c r="N2" s="4422" t="s">
        <v>2999</v>
      </c>
      <c r="O2" s="4423"/>
      <c r="P2" s="4423"/>
      <c r="Q2" s="4423"/>
      <c r="R2" s="4424"/>
      <c r="S2" s="241"/>
      <c r="T2" s="144"/>
      <c r="U2" s="144"/>
      <c r="V2" s="322"/>
      <c r="W2" s="322"/>
      <c r="X2" s="322"/>
      <c r="AA2" s="68"/>
      <c r="AB2" s="68"/>
    </row>
    <row r="3" spans="1:28" s="145" customFormat="1" ht="11.65"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5"/>
      <c r="G45" s="4378" t="s">
        <v>2465</v>
      </c>
      <c r="H45" s="4379"/>
      <c r="I45" s="66"/>
      <c r="J45" s="35"/>
      <c r="K45" s="4380" t="s">
        <v>3164</v>
      </c>
      <c r="L45" s="4381"/>
      <c r="M45" s="4381"/>
      <c r="N45" s="4382"/>
    </row>
    <row r="46" spans="1:295" s="28" customFormat="1" ht="11.25" customHeight="1">
      <c r="A46" s="4394"/>
      <c r="B46" s="4394"/>
      <c r="C46" s="4394"/>
      <c r="D46" s="4394"/>
      <c r="E46" s="4394"/>
      <c r="F46" s="1245"/>
      <c r="G46" s="4383" t="s">
        <v>333</v>
      </c>
      <c r="H46" s="4384"/>
      <c r="I46" s="66"/>
      <c r="J46" s="35"/>
      <c r="K46" s="4389" t="s">
        <v>3165</v>
      </c>
      <c r="L46" s="4390"/>
      <c r="M46" s="4390"/>
      <c r="N46" s="4391"/>
      <c r="P46" s="405" t="s">
        <v>2474</v>
      </c>
      <c r="Q46" s="74"/>
    </row>
    <row r="47" spans="1:295" s="28" customFormat="1" ht="4.5" customHeight="1">
      <c r="A47" s="1245"/>
      <c r="B47" s="1245"/>
      <c r="C47" s="1245"/>
      <c r="D47" s="1245"/>
      <c r="E47" s="1245"/>
      <c r="F47" s="1245"/>
      <c r="G47" s="66"/>
      <c r="H47" s="66"/>
      <c r="I47" s="66"/>
      <c r="J47" s="35"/>
      <c r="K47" s="4334"/>
      <c r="L47" s="4334"/>
      <c r="M47" s="4334"/>
      <c r="N47" s="4334"/>
      <c r="P47" s="4392" t="s">
        <v>3935</v>
      </c>
      <c r="Q47" s="4392"/>
    </row>
    <row r="48" spans="1:295" s="62" customFormat="1" ht="10.5" customHeight="1">
      <c r="D48" s="491" t="s">
        <v>2464</v>
      </c>
      <c r="E48" s="28"/>
      <c r="F48" s="492" t="s">
        <v>3067</v>
      </c>
      <c r="G48" s="4407" t="s">
        <v>3892</v>
      </c>
      <c r="H48" s="4407"/>
      <c r="I48" s="4407"/>
      <c r="J48" s="28"/>
      <c r="K48" s="492" t="s">
        <v>3067</v>
      </c>
      <c r="L48" s="4407" t="s">
        <v>3891</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399" t="str">
        <f>IF('Part I-Project Identification'!$F$26="","",VLOOKUP('Part I-Project Identification'!$J$26,'DCA Underwriting Assumptions'!$G$141:$N$300,8,FALSE))</f>
        <v>Atlanta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190" t="s">
        <v>3936</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385">
        <f>'Part III-A-Uses of Funds'!$G$146</f>
        <v>25403016</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3927</v>
      </c>
      <c r="Q54" s="4190"/>
      <c r="R54" s="4425" t="s">
        <v>6299</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24351021</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489" t="s">
        <v>3364</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03"/>
      <c r="Q58" s="4404"/>
      <c r="R58" s="328"/>
      <c r="S58" s="4408" t="s">
        <v>3930</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88" t="s">
        <v>3160</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88" t="s">
        <v>3161</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22</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22 units = </v>
      </c>
      <c r="I71" s="1244">
        <f>IF(F71="","",F71*G71)</f>
        <v>4297736.3</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395">
        <f>IF(P58&gt;1,P58, IF(OR('Part VIII Scoring Criteria OLD'!$O$113='Part VIII Scoring Criteria OLD'!$M$113,AND('Part III-A-Uses of Funds'!$T$179="Yes",'Part VIII Scoring Criteria OLD'!$O$378&gt;0)),H77+M77,H77))</f>
        <v>21377085.5</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68</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68 units = </v>
      </c>
      <c r="I72" s="1244">
        <f>IF(F72="","",F72*G72)</f>
        <v>17079349.199999999</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7" t="s">
        <v>3448</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90</v>
      </c>
      <c r="G75" s="493"/>
      <c r="H75" s="871"/>
      <c r="I75" s="874">
        <f>SUM(I70:I74)</f>
        <v>21377085.5</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90</v>
      </c>
      <c r="G77" s="258"/>
      <c r="H77" s="4426">
        <f>I54+I61+I68+I75</f>
        <v>21377085.5</v>
      </c>
      <c r="I77" s="4426"/>
      <c r="J77" s="4426"/>
      <c r="K77" s="486">
        <f>K54+K61+K68+K75</f>
        <v>0</v>
      </c>
      <c r="L77" s="487"/>
      <c r="M77" s="4426">
        <f>N54+N61+N68+N75</f>
        <v>0</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Helix, Riverdale, Clayton County</v>
      </c>
      <c r="B1" s="3317"/>
      <c r="C1" s="3317"/>
      <c r="D1" s="3317"/>
      <c r="E1" s="3317"/>
      <c r="F1" s="3317"/>
      <c r="G1" s="3317"/>
      <c r="H1" s="3317"/>
      <c r="I1" s="3317"/>
      <c r="J1" s="3317"/>
      <c r="K1" s="3317"/>
      <c r="L1" s="3317"/>
      <c r="M1" s="3317"/>
      <c r="N1" s="3317"/>
      <c r="O1" s="3317"/>
      <c r="P1" s="3318"/>
      <c r="Q1" s="4713" t="s">
        <v>6644</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6658</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33" t="s">
        <v>6495</v>
      </c>
      <c r="G12" s="4633"/>
      <c r="H12" s="4633"/>
      <c r="I12" s="4633"/>
      <c r="J12" s="4633"/>
      <c r="K12" s="4633"/>
      <c r="L12" s="4633"/>
      <c r="M12" s="4633"/>
      <c r="N12" s="4633"/>
      <c r="O12" s="1201" t="s">
        <v>3809</v>
      </c>
      <c r="P12" s="1202">
        <f>SUM(P13:P31)</f>
        <v>0</v>
      </c>
      <c r="Q12" s="4712" t="s">
        <v>6544</v>
      </c>
      <c r="R12" s="4712"/>
      <c r="S12" s="4712"/>
      <c r="T12" s="4712"/>
      <c r="U12" s="4712"/>
      <c r="V12" s="1179"/>
    </row>
    <row r="13" spans="1:25" s="35" customFormat="1" ht="10.5" customHeight="1">
      <c r="A13" s="924" t="s">
        <v>1668</v>
      </c>
      <c r="B13" s="921" t="s">
        <v>3393</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4037</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3338</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3394</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3395</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4038</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4040</v>
      </c>
      <c r="B19" s="751" t="s">
        <v>3261</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4052</v>
      </c>
      <c r="B20" s="751" t="s">
        <v>4041</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6242</v>
      </c>
      <c r="B21" s="931" t="s">
        <v>4042</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6636</v>
      </c>
      <c r="B22" s="751" t="s">
        <v>6548</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6638</v>
      </c>
      <c r="B23" s="751" t="s">
        <v>6637</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3368</v>
      </c>
      <c r="B24" s="1887" t="s">
        <v>6554</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3372</v>
      </c>
      <c r="B25" s="751" t="s">
        <v>3396</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3375</v>
      </c>
      <c r="B26" s="751" t="s">
        <v>3397</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3376</v>
      </c>
      <c r="B27" s="751" t="s">
        <v>3398</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3802</v>
      </c>
      <c r="B30" s="751" t="s">
        <v>6552</v>
      </c>
      <c r="C30" s="866"/>
      <c r="D30" s="925"/>
      <c r="E30" s="1196">
        <f>$O$428</f>
        <v>0</v>
      </c>
      <c r="F30" s="4627">
        <f>$A$430</f>
        <v>0</v>
      </c>
      <c r="G30" s="4628"/>
      <c r="H30" s="4628"/>
      <c r="I30" s="4628"/>
      <c r="J30" s="4628"/>
      <c r="K30" s="4628"/>
      <c r="L30" s="4628"/>
      <c r="M30" s="4628"/>
      <c r="N30" s="4628"/>
      <c r="O30" s="4629"/>
      <c r="P30" s="1209"/>
      <c r="Q30" s="1964"/>
      <c r="R30" s="1628"/>
      <c r="S30" s="1628"/>
      <c r="AA30" s="3637" t="s">
        <v>6562</v>
      </c>
      <c r="AB30" s="3637"/>
      <c r="AC30" s="3637"/>
      <c r="AD30" s="3637"/>
      <c r="AE30" s="3637"/>
      <c r="AF30" s="3637"/>
    </row>
    <row r="31" spans="1:35" s="35" customFormat="1" ht="10.5" customHeight="1">
      <c r="A31" s="926" t="s">
        <v>6555</v>
      </c>
      <c r="B31" s="927" t="s">
        <v>6553</v>
      </c>
      <c r="C31" s="928"/>
      <c r="D31" s="929"/>
      <c r="E31" s="1624">
        <f>$O$434</f>
        <v>0</v>
      </c>
      <c r="F31" s="4630">
        <f>$A$438</f>
        <v>0</v>
      </c>
      <c r="G31" s="4631"/>
      <c r="H31" s="4631"/>
      <c r="I31" s="4631"/>
      <c r="J31" s="4631"/>
      <c r="K31" s="4631"/>
      <c r="L31" s="4631"/>
      <c r="M31" s="4631"/>
      <c r="N31" s="4631"/>
      <c r="O31" s="4632"/>
      <c r="P31" s="1210"/>
      <c r="Q31" s="1964"/>
      <c r="R31" s="1628"/>
      <c r="S31" s="1628"/>
      <c r="X31" s="3637" t="s">
        <v>6563</v>
      </c>
      <c r="Y31" s="3637"/>
      <c r="Z31" s="3637"/>
      <c r="AA31" s="3637"/>
      <c r="AB31" s="3637"/>
      <c r="AC31" s="3637"/>
      <c r="AD31" s="3637" t="s">
        <v>6564</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688" t="s">
        <v>6124</v>
      </c>
      <c r="H33" s="4688"/>
      <c r="I33" s="4685" t="s">
        <v>6505</v>
      </c>
      <c r="J33" s="4686"/>
      <c r="K33" s="4686"/>
      <c r="L33" s="4687"/>
      <c r="M33" s="4640" t="s">
        <v>6137</v>
      </c>
      <c r="N33" s="4640"/>
      <c r="O33" s="4640"/>
      <c r="P33" s="4640"/>
      <c r="Q33" s="436"/>
      <c r="R33" s="436"/>
      <c r="S33" s="83" t="s">
        <v>6136</v>
      </c>
      <c r="T33" s="436"/>
      <c r="U33" s="436"/>
      <c r="V33" s="436"/>
      <c r="X33" s="4671" t="s">
        <v>6124</v>
      </c>
      <c r="Y33" s="4673"/>
      <c r="Z33" s="4671" t="s">
        <v>6505</v>
      </c>
      <c r="AA33" s="4672"/>
      <c r="AB33" s="4672"/>
      <c r="AC33" s="4673"/>
      <c r="AD33" s="4680" t="s">
        <v>6124</v>
      </c>
      <c r="AE33" s="4681"/>
      <c r="AF33" s="4682" t="s">
        <v>6505</v>
      </c>
      <c r="AG33" s="4680"/>
      <c r="AH33" s="4680"/>
      <c r="AI33" s="4681"/>
    </row>
    <row r="34" spans="1:46" s="115" customFormat="1" ht="11.25" customHeight="1">
      <c r="A34" s="44"/>
      <c r="B34" s="29"/>
      <c r="C34" s="44"/>
      <c r="D34" s="44"/>
      <c r="E34" s="44"/>
      <c r="F34" s="44"/>
      <c r="G34" s="1723">
        <v>0.09</v>
      </c>
      <c r="H34" s="1723">
        <v>0.04</v>
      </c>
      <c r="I34" s="1723">
        <v>0.04</v>
      </c>
      <c r="J34" s="1723" t="s">
        <v>6545</v>
      </c>
      <c r="K34" s="1723" t="s">
        <v>6546</v>
      </c>
      <c r="L34" s="1723" t="s">
        <v>6547</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27" t="s">
        <v>6561</v>
      </c>
      <c r="N40" s="4428"/>
      <c r="O40" s="4428"/>
      <c r="P40" s="4428"/>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27"/>
      <c r="N41" s="4428"/>
      <c r="O41" s="4428"/>
      <c r="P41" s="4428"/>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90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431" t="s">
        <v>6736</v>
      </c>
      <c r="N52" s="4432"/>
      <c r="O52" s="4432"/>
      <c r="P52" s="4432"/>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31"/>
      <c r="N53" s="4432"/>
      <c r="O53" s="4432"/>
      <c r="P53" s="443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33"/>
      <c r="N54" s="4434"/>
      <c r="O54" s="4434"/>
      <c r="P54" s="443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41" t="s">
        <v>6711</v>
      </c>
      <c r="N55" s="4642"/>
      <c r="O55" s="4642"/>
      <c r="P55" s="4643"/>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44"/>
      <c r="N56" s="4645"/>
      <c r="O56" s="4645"/>
      <c r="P56" s="4646"/>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427" t="s">
        <v>6139</v>
      </c>
      <c r="N58" s="4428"/>
      <c r="O58" s="4428"/>
      <c r="P58" s="4428"/>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429"/>
      <c r="N59" s="4430"/>
      <c r="O59" s="4430"/>
      <c r="P59" s="4430"/>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718" t="s">
        <v>6712</v>
      </c>
      <c r="N60" s="4719"/>
      <c r="O60" s="4719"/>
      <c r="P60" s="4720"/>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721"/>
      <c r="N61" s="4722"/>
      <c r="O61" s="4722"/>
      <c r="P61" s="4723"/>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65" t="s">
        <v>3894</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92" t="s">
        <v>6072</v>
      </c>
      <c r="B74" s="4392"/>
      <c r="C74" s="4392"/>
      <c r="D74" s="4392"/>
      <c r="E74" s="4392"/>
      <c r="F74" s="1176" t="s">
        <v>3390</v>
      </c>
      <c r="G74" s="4619" t="s">
        <v>6074</v>
      </c>
      <c r="H74" s="4619"/>
      <c r="I74" s="4619"/>
      <c r="J74" s="1176" t="s">
        <v>3390</v>
      </c>
      <c r="K74" s="4623" t="s">
        <v>6073</v>
      </c>
      <c r="L74" s="4623"/>
      <c r="M74" s="4623"/>
      <c r="N74" s="4623"/>
      <c r="O74" s="4617" t="s">
        <v>3390</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3808</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9"/>
      <c r="T79" s="1179"/>
    </row>
    <row r="80" spans="1:20" s="35" customFormat="1" ht="24.75" customHeight="1">
      <c r="A80" s="4458">
        <v>5</v>
      </c>
      <c r="B80" s="4459"/>
      <c r="C80" s="4459"/>
      <c r="D80" s="4459"/>
      <c r="E80" s="4460"/>
      <c r="F80" s="680"/>
      <c r="G80" s="4458">
        <v>5</v>
      </c>
      <c r="H80" s="4459"/>
      <c r="I80" s="4460"/>
      <c r="J80" s="934" t="s">
        <v>3144</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3145</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3146</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3147</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3" t="s">
        <v>3811</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57.875</v>
      </c>
      <c r="L94" s="4511"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511"/>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4" t="s">
        <v>3815</v>
      </c>
      <c r="I97" s="4725"/>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90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696" t="s">
        <v>4043</v>
      </c>
      <c r="J106" s="4697"/>
      <c r="K106" s="4697"/>
      <c r="L106" s="4698"/>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699"/>
      <c r="J107" s="4606"/>
      <c r="K107" s="4606"/>
      <c r="L107" s="4700"/>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8" t="s">
        <v>3215</v>
      </c>
      <c r="G123" s="4648"/>
      <c r="H123" s="4648"/>
      <c r="I123" s="4648"/>
      <c r="J123" s="4648" t="s">
        <v>3216</v>
      </c>
      <c r="K123" s="4648"/>
      <c r="L123" s="4648"/>
      <c r="M123" s="4648"/>
      <c r="N123" s="48"/>
      <c r="O123" s="4649" t="s">
        <v>3884</v>
      </c>
      <c r="P123" s="4650"/>
      <c r="Q123" s="86"/>
      <c r="R123" s="879"/>
      <c r="S123" s="879"/>
      <c r="T123" s="879"/>
      <c r="U123" s="879"/>
    </row>
    <row r="124" spans="1:21" s="36" customFormat="1" ht="12" customHeight="1">
      <c r="B124" s="1839"/>
      <c r="C124" s="1182" t="s">
        <v>6570</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6146</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6679</v>
      </c>
      <c r="B126" s="4526"/>
      <c r="C126" s="1182" t="s">
        <v>6569</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3365</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47" t="s">
        <v>6677</v>
      </c>
      <c r="D133" s="4647"/>
      <c r="E133" s="4647"/>
      <c r="F133" s="4647"/>
      <c r="G133" s="4647"/>
      <c r="H133" s="4647"/>
      <c r="I133" s="4647"/>
      <c r="J133" s="4647"/>
      <c r="K133" s="4647"/>
      <c r="L133" s="4647"/>
      <c r="M133" s="1848">
        <v>6</v>
      </c>
      <c r="N133" s="374" t="s">
        <v>1844</v>
      </c>
      <c r="O133" s="1910"/>
      <c r="P133" s="1911"/>
      <c r="Q133" s="1212"/>
      <c r="R133" s="795" t="s">
        <v>4058</v>
      </c>
    </row>
    <row r="134" spans="1:21" s="332" customFormat="1" ht="12" customHeight="1">
      <c r="A134" s="456" t="s">
        <v>1275</v>
      </c>
      <c r="B134" s="350" t="s">
        <v>1846</v>
      </c>
      <c r="C134" s="3654" t="s">
        <v>6678</v>
      </c>
      <c r="D134" s="3654"/>
      <c r="E134" s="3654"/>
      <c r="F134" s="3654"/>
      <c r="G134" s="866"/>
      <c r="J134" s="4655" t="s">
        <v>6674</v>
      </c>
      <c r="K134" s="4656"/>
      <c r="L134" s="4657"/>
      <c r="M134" s="458">
        <v>5</v>
      </c>
      <c r="N134" s="348" t="s">
        <v>1846</v>
      </c>
      <c r="O134" s="1923"/>
      <c r="P134" s="1924"/>
      <c r="Q134" s="1810" t="s">
        <v>6670</v>
      </c>
      <c r="R134" s="1176" t="s">
        <v>6263</v>
      </c>
      <c r="S134" s="1176" t="s">
        <v>6144</v>
      </c>
    </row>
    <row r="135" spans="1:21" s="332" customFormat="1" ht="12" customHeight="1">
      <c r="B135" s="350"/>
      <c r="C135" s="3654"/>
      <c r="D135" s="3654"/>
      <c r="E135" s="3654"/>
      <c r="F135" s="3654"/>
      <c r="G135" s="866"/>
      <c r="H135" s="3489" t="s">
        <v>6672</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1843</v>
      </c>
      <c r="B138" s="897" t="s">
        <v>3238</v>
      </c>
      <c r="C138" s="503"/>
      <c r="D138" s="503"/>
      <c r="F138" s="1902" t="s">
        <v>6669</v>
      </c>
      <c r="J138" s="4689" t="s">
        <v>3235</v>
      </c>
      <c r="K138" s="4690"/>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54" t="s">
        <v>6684</v>
      </c>
      <c r="D139" s="3654"/>
      <c r="E139" s="3654"/>
      <c r="F139" s="3654"/>
      <c r="G139" s="866"/>
      <c r="H139" s="3489" t="s">
        <v>6673</v>
      </c>
      <c r="I139" s="3489"/>
      <c r="J139" s="4505" t="s">
        <v>6689</v>
      </c>
      <c r="K139" s="4506"/>
      <c r="L139" s="4507"/>
      <c r="M139" s="458">
        <v>3</v>
      </c>
      <c r="N139" s="348" t="s">
        <v>1844</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6565</v>
      </c>
      <c r="K140" s="4469"/>
      <c r="L140" s="4470"/>
      <c r="M140" s="70"/>
      <c r="O140" s="4482"/>
      <c r="P140" s="4485"/>
      <c r="Q140" s="86"/>
      <c r="R140" s="1550">
        <v>1</v>
      </c>
      <c r="S140" s="1550">
        <v>1</v>
      </c>
      <c r="U140" s="332"/>
    </row>
    <row r="141" spans="1:21" s="36" customFormat="1" ht="11.25" customHeight="1">
      <c r="A141" s="456" t="s">
        <v>1275</v>
      </c>
      <c r="B141" s="1632" t="s">
        <v>1846</v>
      </c>
      <c r="C141" s="3654" t="s">
        <v>6676</v>
      </c>
      <c r="D141" s="3654"/>
      <c r="E141" s="3654"/>
      <c r="F141" s="3654"/>
      <c r="G141" s="3654"/>
      <c r="H141" s="3654"/>
      <c r="I141" s="1903"/>
      <c r="J141" s="4471"/>
      <c r="K141" s="4472"/>
      <c r="L141" s="4473"/>
      <c r="M141" s="458">
        <v>1</v>
      </c>
      <c r="N141" s="348" t="s">
        <v>1846</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2332</v>
      </c>
      <c r="C143" s="3654" t="s">
        <v>6675</v>
      </c>
      <c r="D143" s="3654"/>
      <c r="E143" s="3654"/>
      <c r="F143" s="3654"/>
      <c r="G143" s="3654"/>
      <c r="H143" s="3654"/>
      <c r="I143" s="4480"/>
      <c r="J143" s="4468" t="s">
        <v>6566</v>
      </c>
      <c r="K143" s="4469"/>
      <c r="L143" s="4470"/>
      <c r="M143" s="1848">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00" t="s">
        <v>6889</v>
      </c>
      <c r="K154" s="4501"/>
      <c r="L154" s="4501"/>
      <c r="M154" s="4502"/>
      <c r="N154"/>
      <c r="O154"/>
      <c r="P154"/>
    </row>
    <row r="155" spans="1:19" ht="12.75" customHeight="1">
      <c r="B155" s="430"/>
      <c r="C155" s="430"/>
      <c r="D155" s="430"/>
      <c r="F155" s="4257" t="s">
        <v>6627</v>
      </c>
      <c r="G155" s="4257"/>
      <c r="H155" s="4257" t="s">
        <v>6269</v>
      </c>
      <c r="I155" s="4257"/>
      <c r="J155" s="4486" t="s">
        <v>6628</v>
      </c>
      <c r="K155" s="4487"/>
      <c r="L155" s="4489" t="s">
        <v>6888</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6629</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8" t="s">
        <v>6680</v>
      </c>
      <c r="D173" s="4198"/>
      <c r="E173" s="4198"/>
      <c r="F173" s="4198"/>
      <c r="G173" s="4198"/>
      <c r="H173" s="4198"/>
      <c r="I173" s="4198"/>
      <c r="J173" s="4198"/>
      <c r="K173" s="4198"/>
      <c r="L173" s="128"/>
      <c r="M173" s="4521" t="s">
        <v>6090</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3286</v>
      </c>
      <c r="N174" s="4509"/>
      <c r="O174" s="4509"/>
      <c r="P174" s="4510"/>
      <c r="S174" s="1628"/>
      <c r="T174" s="1628"/>
      <c r="U174" s="1628"/>
    </row>
    <row r="175" spans="1:26" s="26" customFormat="1" ht="12.75" customHeight="1">
      <c r="B175" s="49" t="s">
        <v>2241</v>
      </c>
      <c r="C175" s="29" t="s">
        <v>3956</v>
      </c>
      <c r="D175" s="29"/>
      <c r="E175" s="29"/>
      <c r="F175" s="29"/>
      <c r="G175" s="29"/>
      <c r="H175" s="29"/>
      <c r="L175" s="49" t="s">
        <v>2241</v>
      </c>
      <c r="M175" s="4505" t="s">
        <v>3286</v>
      </c>
      <c r="N175" s="4506"/>
      <c r="O175" s="4506"/>
      <c r="P175" s="4507"/>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505" t="s">
        <v>3286</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558" t="s">
        <v>3286</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8" t="s">
        <v>6178</v>
      </c>
      <c r="D180" s="4198"/>
      <c r="E180" s="4198"/>
      <c r="F180" s="4198"/>
      <c r="G180" s="4198"/>
      <c r="H180" s="4198"/>
      <c r="I180" s="4198"/>
      <c r="J180" s="4198"/>
      <c r="K180" s="4198"/>
      <c r="L180" s="4198"/>
      <c r="M180" s="1848">
        <v>1</v>
      </c>
      <c r="N180" s="128" t="s">
        <v>4076</v>
      </c>
      <c r="O180" s="1636"/>
      <c r="P180" s="1640"/>
      <c r="Q180" s="1212" t="str">
        <f>IF(OR($O180=$M180,$O180=0,$O180=""),"","*CHECK!*")</f>
        <v/>
      </c>
      <c r="R180" s="795" t="s">
        <v>4058</v>
      </c>
    </row>
    <row r="181" spans="1:26" ht="36.75" customHeight="1">
      <c r="A181" s="396"/>
      <c r="B181" s="117" t="s">
        <v>2241</v>
      </c>
      <c r="C181" s="4198" t="s">
        <v>6179</v>
      </c>
      <c r="D181" s="4198"/>
      <c r="E181" s="4198"/>
      <c r="F181" s="4198"/>
      <c r="G181" s="4198"/>
      <c r="H181" s="4198"/>
      <c r="I181" s="4198"/>
      <c r="J181" s="4198"/>
      <c r="K181" s="4198"/>
      <c r="L181" s="4198"/>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8" t="s">
        <v>6207</v>
      </c>
      <c r="D194" s="4198"/>
      <c r="E194" s="4198"/>
      <c r="F194" s="4198"/>
      <c r="G194" s="4198"/>
      <c r="H194" s="4198"/>
      <c r="I194" s="4198"/>
      <c r="J194" s="4198"/>
      <c r="K194" s="4198"/>
      <c r="L194" s="4198"/>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6211</v>
      </c>
      <c r="D196" s="4198"/>
      <c r="E196" s="4198"/>
      <c r="F196" s="4198"/>
      <c r="G196" s="4198"/>
      <c r="H196" s="4198"/>
      <c r="I196" s="4198"/>
      <c r="J196" s="4198"/>
      <c r="K196" s="4198"/>
      <c r="L196" s="4198"/>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8" t="s">
        <v>6212</v>
      </c>
      <c r="D198" s="4198"/>
      <c r="E198" s="4198"/>
      <c r="F198" s="4198"/>
      <c r="G198" s="4198"/>
      <c r="H198" s="4198"/>
      <c r="I198" s="4198"/>
      <c r="J198" s="4198"/>
      <c r="K198" s="4198"/>
      <c r="L198" s="4198"/>
      <c r="M198" s="884" t="s">
        <v>1962</v>
      </c>
      <c r="N198" s="317" t="s">
        <v>1844</v>
      </c>
      <c r="O198" s="894"/>
      <c r="P198" s="893"/>
      <c r="Q198" s="947"/>
      <c r="V198" s="1599"/>
      <c r="W198" s="1599"/>
    </row>
    <row r="199" spans="1:24" s="26" customFormat="1" ht="23.25" customHeight="1">
      <c r="A199" s="396"/>
      <c r="B199" s="350" t="s">
        <v>1846</v>
      </c>
      <c r="C199" s="4198" t="s">
        <v>6253</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535" t="s">
        <v>3204</v>
      </c>
      <c r="K208" s="4536"/>
      <c r="L208" s="4537"/>
      <c r="M208" s="4538"/>
      <c r="N208" s="53"/>
      <c r="R208" s="86"/>
      <c r="S208" s="70"/>
    </row>
    <row r="209" spans="1:27" ht="12.75" customHeight="1">
      <c r="C209" s="685" t="s">
        <v>6255</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714" t="s">
        <v>6218</v>
      </c>
      <c r="F212" s="4714"/>
      <c r="G212" s="4714"/>
      <c r="H212" s="4714"/>
      <c r="I212" s="1203" t="s">
        <v>6245</v>
      </c>
      <c r="J212" s="4714" t="s">
        <v>6218</v>
      </c>
      <c r="K212" s="4714"/>
      <c r="L212" s="4714"/>
      <c r="M212" s="4714"/>
      <c r="N212"/>
      <c r="O212"/>
      <c r="P212"/>
    </row>
    <row r="213" spans="1:27" ht="13.5" customHeight="1">
      <c r="B213" s="400"/>
      <c r="C213" s="29" t="s">
        <v>6216</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6217</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6214</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6215</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0.1111111111111111</v>
      </c>
      <c r="J226" s="370" t="s">
        <v>3959</v>
      </c>
      <c r="K226" s="4592" t="str">
        <f>'Part V-Revenues &amp; Expenses'!$O$53</f>
        <v>40% of Units at 60% of AMI</v>
      </c>
      <c r="L226" s="4593"/>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3"/>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710"/>
      <c r="J244" s="4710"/>
      <c r="L244" s="1662" t="s">
        <v>6259</v>
      </c>
      <c r="M244" s="4711"/>
      <c r="N244" s="4711"/>
    </row>
    <row r="245" spans="1:27" s="32" customFormat="1" ht="11.25" customHeight="1">
      <c r="A245" s="306"/>
      <c r="B245" s="350" t="s">
        <v>1846</v>
      </c>
      <c r="C245" s="29" t="s">
        <v>6258</v>
      </c>
      <c r="E245" s="33" t="s">
        <v>3309</v>
      </c>
      <c r="G245" s="1644"/>
      <c r="H245" s="48" t="s">
        <v>574</v>
      </c>
      <c r="I245" s="4584"/>
      <c r="J245" s="4584"/>
      <c r="L245" s="1662" t="s">
        <v>6259</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6615</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6616</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6230</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6691</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6693</v>
      </c>
      <c r="G289" s="147"/>
      <c r="I289" s="4552" t="s">
        <v>6694</v>
      </c>
      <c r="J289" s="4553"/>
      <c r="K289" s="4554"/>
      <c r="L289" s="4555"/>
      <c r="M289" s="456"/>
      <c r="O289" s="4556" t="s">
        <v>3149</v>
      </c>
      <c r="P289" s="4556" t="s">
        <v>3150</v>
      </c>
      <c r="Q289" s="86"/>
      <c r="R289" s="1630"/>
      <c r="S289" s="1630"/>
      <c r="T289" s="1630"/>
      <c r="U289" s="1630"/>
      <c r="V289" s="1630"/>
      <c r="W289" s="36"/>
      <c r="X289" s="36"/>
    </row>
    <row r="290" spans="1:24" s="36" customFormat="1" ht="11.25" customHeight="1">
      <c r="A290" s="120"/>
      <c r="B290" s="29" t="s">
        <v>6581</v>
      </c>
      <c r="D290" s="34"/>
      <c r="H290" s="141"/>
      <c r="M290" s="119"/>
      <c r="N290" s="48"/>
      <c r="O290" s="4557"/>
      <c r="P290" s="4557"/>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8" t="s">
        <v>6587</v>
      </c>
      <c r="D296" s="4198"/>
      <c r="E296" s="4198"/>
      <c r="F296" s="4198"/>
      <c r="G296" s="4198"/>
      <c r="H296" s="4198"/>
      <c r="I296" s="4198"/>
      <c r="J296" s="4198"/>
      <c r="K296" s="4198"/>
      <c r="L296" s="4198"/>
      <c r="M296" s="4198"/>
      <c r="N296" s="150" t="s">
        <v>1844</v>
      </c>
      <c r="O296" s="1287"/>
      <c r="P296" s="1288"/>
      <c r="Q296" s="331"/>
      <c r="R296" s="1840"/>
      <c r="S296" s="1840"/>
      <c r="T296" s="1840"/>
      <c r="U296" s="1840"/>
    </row>
    <row r="297" spans="1:24" s="332" customFormat="1" ht="21.75" customHeight="1" thickBot="1">
      <c r="A297" s="1608"/>
      <c r="B297" s="350" t="s">
        <v>1846</v>
      </c>
      <c r="C297" s="4198" t="s">
        <v>6588</v>
      </c>
      <c r="D297" s="4198"/>
      <c r="E297" s="4198"/>
      <c r="F297" s="4198"/>
      <c r="G297" s="4198"/>
      <c r="H297" s="4198"/>
      <c r="I297" s="4198"/>
      <c r="J297" s="4198"/>
      <c r="K297" s="4198"/>
      <c r="L297" s="4198"/>
      <c r="M297" s="4198"/>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8" t="s">
        <v>6590</v>
      </c>
      <c r="D299" s="4198"/>
      <c r="E299" s="4198"/>
      <c r="F299" s="4198"/>
      <c r="G299" s="4198"/>
      <c r="H299" s="4198"/>
      <c r="I299" s="4198"/>
      <c r="J299" s="4198"/>
      <c r="K299" s="4198"/>
      <c r="L299" s="4198"/>
      <c r="M299" s="4198"/>
      <c r="N299" s="150" t="s">
        <v>1844</v>
      </c>
      <c r="O299" s="1287"/>
      <c r="P299" s="1288"/>
      <c r="Q299" s="331"/>
      <c r="R299" s="1840"/>
      <c r="S299" s="1840"/>
      <c r="T299" s="1840"/>
      <c r="U299" s="1840"/>
    </row>
    <row r="300" spans="1:24" s="332" customFormat="1" ht="10.5" customHeight="1">
      <c r="A300" s="1608"/>
      <c r="B300" s="350" t="s">
        <v>1846</v>
      </c>
      <c r="C300" s="4198" t="s">
        <v>6591</v>
      </c>
      <c r="D300" s="4198"/>
      <c r="E300" s="4198"/>
      <c r="F300" s="4198"/>
      <c r="G300" s="4198"/>
      <c r="H300" s="4198"/>
      <c r="I300" s="4198"/>
      <c r="J300" s="4198"/>
      <c r="K300" s="4198"/>
      <c r="L300" s="4198"/>
      <c r="M300" s="4198"/>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8" t="s">
        <v>6594</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707"/>
      <c r="J311" s="4708"/>
      <c r="K311" s="4708"/>
      <c r="L311" s="470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37" t="s">
        <v>6059</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3274</v>
      </c>
      <c r="L345" s="4582"/>
      <c r="M345" s="4582"/>
      <c r="N345" s="49" t="s">
        <v>2241</v>
      </c>
      <c r="O345" s="299"/>
      <c r="P345" s="420"/>
      <c r="R345" s="4578"/>
      <c r="S345" s="4578"/>
    </row>
    <row r="346" spans="1:20" s="79" customFormat="1" ht="12.75" customHeight="1">
      <c r="B346" s="49" t="s">
        <v>2242</v>
      </c>
      <c r="C346" s="29" t="s">
        <v>3273</v>
      </c>
      <c r="L346" s="4582"/>
      <c r="M346" s="4582"/>
      <c r="N346" s="49" t="s">
        <v>2242</v>
      </c>
      <c r="O346" s="299"/>
      <c r="P346" s="420"/>
      <c r="R346" s="4578"/>
      <c r="S346" s="4578"/>
    </row>
    <row r="347" spans="1:20" s="79" customFormat="1" ht="33.75" customHeight="1">
      <c r="B347" s="117" t="s">
        <v>2243</v>
      </c>
      <c r="C347" s="4198" t="s">
        <v>6596</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75" t="s">
        <v>1848</v>
      </c>
      <c r="K351" s="4575"/>
      <c r="M351" s="4575" t="s">
        <v>1848</v>
      </c>
      <c r="N351" s="4575"/>
      <c r="O351" s="4575"/>
      <c r="P351" s="4575"/>
      <c r="R351" s="1836"/>
      <c r="S351" s="1836"/>
      <c r="T351" s="1426"/>
    </row>
    <row r="352" spans="1:20" s="36" customFormat="1" ht="12.75" customHeight="1">
      <c r="A352" s="151"/>
      <c r="B352" s="150" t="s">
        <v>6598</v>
      </c>
      <c r="C352" s="29" t="s">
        <v>1388</v>
      </c>
      <c r="I352" s="49" t="s">
        <v>2240</v>
      </c>
      <c r="J352" s="4666"/>
      <c r="K352" s="4667"/>
      <c r="L352" s="49" t="s">
        <v>2240</v>
      </c>
      <c r="M352" s="4532"/>
      <c r="N352" s="4533"/>
      <c r="O352" s="4533"/>
      <c r="P352" s="4534"/>
      <c r="R352" s="307"/>
    </row>
    <row r="353" spans="1:18" ht="12.75" customHeight="1">
      <c r="A353" s="152"/>
      <c r="B353" s="117" t="s">
        <v>2241</v>
      </c>
      <c r="C353" s="29" t="s">
        <v>3155</v>
      </c>
      <c r="I353" s="117" t="s">
        <v>2241</v>
      </c>
      <c r="J353" s="4527"/>
      <c r="K353" s="4528"/>
      <c r="L353" s="117" t="s">
        <v>2241</v>
      </c>
      <c r="M353" s="4529"/>
      <c r="N353" s="4530"/>
      <c r="O353" s="4530"/>
      <c r="P353" s="4531"/>
      <c r="R353" s="307"/>
    </row>
    <row r="354" spans="1:18" ht="12.75" customHeight="1">
      <c r="B354" s="49" t="s">
        <v>2242</v>
      </c>
      <c r="C354" s="29" t="s">
        <v>3953</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6232</v>
      </c>
      <c r="I358" s="49" t="s">
        <v>2261</v>
      </c>
      <c r="J358" s="4527"/>
      <c r="K358" s="4528"/>
      <c r="L358" s="49" t="s">
        <v>2261</v>
      </c>
      <c r="M358" s="1601"/>
      <c r="N358" s="1602"/>
      <c r="O358" s="1602"/>
      <c r="P358" s="1603"/>
      <c r="R358" s="307"/>
    </row>
    <row r="359" spans="1:18" ht="12.75" customHeight="1">
      <c r="A359" s="152"/>
      <c r="B359" s="48" t="s">
        <v>2262</v>
      </c>
      <c r="C359" s="29" t="s">
        <v>3154</v>
      </c>
      <c r="I359" s="48" t="s">
        <v>2262</v>
      </c>
      <c r="J359" s="4527"/>
      <c r="K359" s="4528"/>
      <c r="L359" s="48" t="s">
        <v>2262</v>
      </c>
      <c r="M359" s="4529"/>
      <c r="N359" s="4530"/>
      <c r="O359" s="4530"/>
      <c r="P359" s="4531"/>
      <c r="R359" s="307"/>
    </row>
    <row r="360" spans="1:18" ht="12.75" customHeight="1">
      <c r="B360" s="48" t="s">
        <v>2263</v>
      </c>
      <c r="C360" s="29" t="s">
        <v>6599</v>
      </c>
      <c r="I360" s="48" t="s">
        <v>2263</v>
      </c>
      <c r="J360" s="4527"/>
      <c r="K360" s="4528"/>
      <c r="L360" s="48" t="s">
        <v>2263</v>
      </c>
      <c r="M360" s="4529"/>
      <c r="N360" s="4530"/>
      <c r="O360" s="4530"/>
      <c r="P360" s="4531"/>
      <c r="R360" s="307"/>
    </row>
    <row r="361" spans="1:18" ht="12.75" customHeight="1">
      <c r="B361" s="48" t="s">
        <v>3156</v>
      </c>
      <c r="C361" s="29" t="s">
        <v>3825</v>
      </c>
      <c r="I361" s="48" t="s">
        <v>3156</v>
      </c>
      <c r="J361" s="4527"/>
      <c r="K361" s="4528"/>
      <c r="L361" s="48" t="s">
        <v>3156</v>
      </c>
      <c r="M361" s="4529"/>
      <c r="N361" s="4530"/>
      <c r="O361" s="4530"/>
      <c r="P361" s="4531"/>
      <c r="R361" s="307"/>
    </row>
    <row r="362" spans="1:18" ht="12.75" customHeight="1" thickBot="1">
      <c r="B362" s="48" t="s">
        <v>6233</v>
      </c>
      <c r="C362" s="29" t="s">
        <v>6234</v>
      </c>
      <c r="I362" s="48" t="s">
        <v>6233</v>
      </c>
      <c r="J362" s="4527"/>
      <c r="K362" s="4528"/>
      <c r="L362" s="48" t="s">
        <v>6233</v>
      </c>
      <c r="M362" s="4568"/>
      <c r="N362" s="4569"/>
      <c r="O362" s="4569"/>
      <c r="P362" s="4570"/>
      <c r="R362" s="307"/>
    </row>
    <row r="363" spans="1:18" ht="12.75" customHeight="1" thickBot="1">
      <c r="B363" s="919" t="s">
        <v>6600</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544">
        <f>'Part V-Revenues &amp; Expenses'!$P$67</f>
        <v>90</v>
      </c>
      <c r="K365" s="4545"/>
      <c r="L365" s="430"/>
      <c r="M365" s="393"/>
      <c r="N365" s="393"/>
      <c r="O365" s="881"/>
      <c r="P365" s="393"/>
    </row>
    <row r="366" spans="1:18" ht="13.5" customHeight="1">
      <c r="C366" s="230"/>
      <c r="D366" s="230"/>
      <c r="E366" s="230"/>
      <c r="F366" s="349" t="s">
        <v>6236</v>
      </c>
      <c r="J366" s="4542">
        <f>IF(J365=0,0,J363/J365)</f>
        <v>0</v>
      </c>
      <c r="K366" s="4543"/>
      <c r="M366" s="4668">
        <f>IF($J365=0,0,$M363/$J365)</f>
        <v>0</v>
      </c>
      <c r="N366" s="4669"/>
      <c r="O366" s="4669"/>
      <c r="P366" s="4670"/>
    </row>
    <row r="367" spans="1:18" s="36" customFormat="1" ht="12.75" customHeight="1">
      <c r="C367" s="230"/>
      <c r="D367" s="230"/>
      <c r="E367" s="230"/>
      <c r="F367" s="44" t="s">
        <v>6237</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8" t="s">
        <v>6601</v>
      </c>
      <c r="D370" s="4198"/>
      <c r="E370" s="4198"/>
      <c r="F370" s="4198"/>
      <c r="G370" s="4198"/>
      <c r="H370" s="4198"/>
      <c r="I370" s="4198"/>
      <c r="J370" s="4198"/>
      <c r="K370" s="4198"/>
      <c r="L370" s="4198"/>
      <c r="M370" s="4198"/>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3885</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355" t="s">
        <v>6602</v>
      </c>
      <c r="C383" s="4355"/>
      <c r="D383" s="4355"/>
      <c r="E383" s="4355"/>
      <c r="F383" s="4355"/>
      <c r="G383" s="4355"/>
      <c r="H383" s="4355"/>
      <c r="I383" s="4355"/>
      <c r="J383" s="4355"/>
      <c r="K383" s="4355"/>
      <c r="L383" s="4355"/>
      <c r="M383" s="4567" t="s">
        <v>3886</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0</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90</v>
      </c>
      <c r="P385" s="4572"/>
      <c r="Q385" s="147"/>
    </row>
    <row r="386" spans="1:19" s="332" customFormat="1" ht="12" customHeight="1">
      <c r="B386" s="4564"/>
      <c r="C386" s="4564"/>
      <c r="D386" s="4564"/>
      <c r="E386" s="4564"/>
      <c r="F386" s="4564"/>
      <c r="G386" s="4564"/>
      <c r="H386" s="4564"/>
      <c r="I386" s="4564"/>
      <c r="J386" s="4564"/>
      <c r="K386" s="4564"/>
      <c r="L386" s="4564"/>
      <c r="M386" s="1194" t="s">
        <v>2518</v>
      </c>
      <c r="N386" s="333"/>
      <c r="O386" s="4565">
        <f>IF(O385=0,0,O384/O385)</f>
        <v>0</v>
      </c>
      <c r="P386" s="4566"/>
      <c r="Q386" s="147"/>
    </row>
    <row r="387" spans="1:19" s="36" customFormat="1" ht="105.75" customHeight="1">
      <c r="A387" s="411"/>
      <c r="B387" s="4344" t="s">
        <v>3414</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90</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6744</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7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6698</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15"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6"/>
      <c r="P447" s="2406"/>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6"/>
      <c r="P448" s="2406"/>
      <c r="Q448" s="68"/>
    </row>
    <row r="449" spans="3:17" s="115" customFormat="1">
      <c r="C449" s="68" t="s">
        <v>1941</v>
      </c>
      <c r="D449" s="68"/>
      <c r="E449" s="68"/>
      <c r="F449" s="68"/>
      <c r="G449" s="68"/>
      <c r="H449" s="68"/>
      <c r="I449" s="68"/>
      <c r="J449" s="380" t="s">
        <v>2306</v>
      </c>
      <c r="K449" s="68"/>
      <c r="L449" s="68"/>
      <c r="M449" s="68"/>
      <c r="N449" s="882"/>
      <c r="O449" s="2406"/>
      <c r="P449" s="2406"/>
      <c r="Q449" s="68"/>
    </row>
    <row r="450" spans="3:17" s="115" customFormat="1">
      <c r="C450" s="68" t="s">
        <v>1942</v>
      </c>
      <c r="D450" s="68"/>
      <c r="E450" s="68"/>
      <c r="F450" s="68"/>
      <c r="G450" s="68"/>
      <c r="H450" s="68"/>
      <c r="I450" s="68"/>
      <c r="J450" s="380" t="s">
        <v>1539</v>
      </c>
      <c r="K450" s="68"/>
      <c r="L450" s="68"/>
      <c r="M450" s="68"/>
      <c r="N450" s="882"/>
      <c r="O450" s="2406"/>
      <c r="P450" s="2406"/>
      <c r="Q450" s="68"/>
    </row>
    <row r="451" spans="3:17" s="115" customFormat="1">
      <c r="C451" s="68"/>
      <c r="D451" s="68"/>
      <c r="E451" s="68"/>
      <c r="F451" s="68"/>
      <c r="G451" s="68"/>
      <c r="H451" s="68"/>
      <c r="I451" s="68"/>
      <c r="J451" s="380" t="s">
        <v>1540</v>
      </c>
      <c r="K451" s="68"/>
      <c r="L451" s="68"/>
      <c r="M451" s="68"/>
      <c r="N451" s="882"/>
      <c r="O451" s="2406"/>
      <c r="P451" s="2406"/>
      <c r="Q451" s="68"/>
    </row>
    <row r="452" spans="3:17" s="115" customFormat="1">
      <c r="C452" s="68" t="s">
        <v>1646</v>
      </c>
      <c r="D452" s="68"/>
      <c r="E452" s="68"/>
      <c r="F452" s="68"/>
      <c r="G452" s="68"/>
      <c r="H452" s="68"/>
      <c r="I452" s="68"/>
      <c r="J452" s="380" t="s">
        <v>1541</v>
      </c>
      <c r="K452" s="68"/>
      <c r="L452" s="68"/>
      <c r="M452" s="68"/>
      <c r="N452" s="882"/>
      <c r="O452" s="2406"/>
      <c r="P452" s="2406"/>
      <c r="Q452" s="68"/>
    </row>
    <row r="453" spans="3:17" s="115" customFormat="1">
      <c r="C453" s="1406" t="s">
        <v>1312</v>
      </c>
      <c r="D453" s="68"/>
      <c r="E453" s="68"/>
      <c r="F453" s="68"/>
      <c r="G453" s="68"/>
      <c r="H453" s="68"/>
      <c r="I453" s="68"/>
      <c r="J453" s="380" t="s">
        <v>1542</v>
      </c>
      <c r="K453" s="68"/>
      <c r="L453" s="68"/>
      <c r="M453" s="68"/>
      <c r="N453" s="882"/>
      <c r="O453" s="2406"/>
      <c r="P453" s="2406"/>
      <c r="Q453" s="68"/>
    </row>
    <row r="454" spans="3:17" s="115" customFormat="1">
      <c r="C454" s="1406" t="s">
        <v>1313</v>
      </c>
      <c r="D454" s="68"/>
      <c r="E454" s="68"/>
      <c r="F454" s="68"/>
      <c r="G454" s="68"/>
      <c r="H454" s="68"/>
      <c r="I454" s="68"/>
      <c r="J454" s="380" t="s">
        <v>1543</v>
      </c>
      <c r="K454" s="68"/>
      <c r="L454" s="68"/>
      <c r="M454" s="68"/>
      <c r="N454" s="882"/>
      <c r="O454" s="2406"/>
      <c r="P454" s="2406"/>
      <c r="Q454" s="68"/>
    </row>
    <row r="455" spans="3:17" s="115" customFormat="1">
      <c r="C455" s="1406" t="s">
        <v>1980</v>
      </c>
      <c r="D455" s="68"/>
      <c r="E455" s="68"/>
      <c r="F455" s="68"/>
      <c r="G455" s="68"/>
      <c r="H455" s="68"/>
      <c r="I455" s="68"/>
      <c r="J455" s="380" t="s">
        <v>1544</v>
      </c>
      <c r="K455" s="68"/>
      <c r="L455" s="68"/>
      <c r="M455" s="68"/>
      <c r="N455" s="882"/>
      <c r="O455" s="2406"/>
      <c r="P455" s="2406"/>
      <c r="Q455" s="68"/>
    </row>
    <row r="456" spans="3:17" s="115" customFormat="1">
      <c r="C456" s="1406" t="s">
        <v>1309</v>
      </c>
      <c r="D456" s="68"/>
      <c r="E456" s="68"/>
      <c r="F456" s="68"/>
      <c r="G456" s="68"/>
      <c r="H456" s="68"/>
      <c r="I456" s="68"/>
      <c r="J456" s="380" t="s">
        <v>549</v>
      </c>
      <c r="K456" s="68"/>
      <c r="L456" s="68"/>
      <c r="M456" s="68"/>
      <c r="N456" s="882"/>
      <c r="O456" s="2406"/>
      <c r="P456" s="2406"/>
      <c r="Q456" s="68"/>
    </row>
    <row r="457" spans="3:17" s="115" customFormat="1">
      <c r="C457" s="1406" t="s">
        <v>1310</v>
      </c>
      <c r="D457" s="68"/>
      <c r="E457" s="68"/>
      <c r="F457" s="68"/>
      <c r="G457" s="68"/>
      <c r="H457" s="68"/>
      <c r="I457" s="68"/>
      <c r="J457" s="380" t="s">
        <v>1545</v>
      </c>
      <c r="K457" s="68"/>
      <c r="L457" s="68"/>
      <c r="M457" s="68"/>
      <c r="N457" s="882"/>
      <c r="O457" s="2406"/>
      <c r="P457" s="2406"/>
      <c r="Q457" s="68"/>
    </row>
    <row r="458" spans="3:17" s="115" customFormat="1">
      <c r="C458" s="1406" t="s">
        <v>1975</v>
      </c>
      <c r="D458" s="68"/>
      <c r="E458" s="68"/>
      <c r="F458" s="68"/>
      <c r="G458" s="68"/>
      <c r="H458" s="68"/>
      <c r="I458" s="68"/>
      <c r="J458" s="380" t="s">
        <v>1546</v>
      </c>
      <c r="K458" s="68"/>
      <c r="L458" s="68"/>
      <c r="M458" s="68"/>
      <c r="N458" s="882"/>
      <c r="O458" s="2406"/>
      <c r="P458" s="2406"/>
      <c r="Q458" s="68"/>
    </row>
    <row r="459" spans="3:17" s="115" customFormat="1">
      <c r="C459" s="1406" t="s">
        <v>1976</v>
      </c>
      <c r="D459" s="68"/>
      <c r="E459" s="68"/>
      <c r="F459" s="68"/>
      <c r="G459" s="68"/>
      <c r="H459" s="68"/>
      <c r="I459" s="68"/>
      <c r="J459" s="380" t="s">
        <v>1547</v>
      </c>
      <c r="K459" s="68"/>
      <c r="L459" s="68"/>
      <c r="M459" s="68"/>
      <c r="N459" s="882"/>
      <c r="O459" s="2406"/>
      <c r="P459" s="2406"/>
      <c r="Q459" s="68"/>
    </row>
    <row r="460" spans="3:17" s="115" customFormat="1">
      <c r="C460" s="1406" t="s">
        <v>1977</v>
      </c>
      <c r="D460" s="68"/>
      <c r="E460" s="68"/>
      <c r="F460" s="68"/>
      <c r="G460" s="68"/>
      <c r="H460" s="68"/>
      <c r="I460" s="68"/>
      <c r="J460" s="380" t="s">
        <v>32</v>
      </c>
      <c r="K460" s="68"/>
      <c r="L460" s="68"/>
      <c r="M460" s="68"/>
      <c r="N460" s="882"/>
      <c r="O460" s="2406"/>
      <c r="P460" s="2406"/>
      <c r="Q460" s="68"/>
    </row>
    <row r="461" spans="3:17" s="115" customFormat="1">
      <c r="C461" s="1406" t="s">
        <v>1978</v>
      </c>
      <c r="D461" s="68"/>
      <c r="E461" s="68"/>
      <c r="F461" s="68"/>
      <c r="G461" s="68"/>
      <c r="H461" s="68"/>
      <c r="I461" s="68"/>
      <c r="J461" s="68"/>
      <c r="K461" s="68"/>
      <c r="L461" s="68"/>
      <c r="M461" s="68"/>
      <c r="N461" s="882"/>
      <c r="O461" s="2406"/>
      <c r="P461" s="2406"/>
      <c r="Q461" s="68"/>
    </row>
    <row r="462" spans="3:17" s="115" customFormat="1">
      <c r="C462" s="1406" t="s">
        <v>1979</v>
      </c>
      <c r="D462" s="68"/>
      <c r="E462" s="68"/>
      <c r="F462" s="68"/>
      <c r="G462" s="68"/>
      <c r="H462" s="68"/>
      <c r="I462" s="68"/>
      <c r="J462" s="2407" t="s">
        <v>3037</v>
      </c>
      <c r="K462" s="68"/>
      <c r="L462" s="68"/>
      <c r="M462" s="68"/>
      <c r="N462" s="882"/>
      <c r="O462" s="2407" t="s">
        <v>3251</v>
      </c>
      <c r="P462" s="2406"/>
      <c r="Q462" s="68"/>
    </row>
    <row r="463" spans="3:17" s="115" customFormat="1">
      <c r="C463" s="1406" t="s">
        <v>1311</v>
      </c>
      <c r="D463" s="68"/>
      <c r="E463" s="68"/>
      <c r="F463" s="68"/>
      <c r="G463" s="68"/>
      <c r="H463" s="68"/>
      <c r="I463" s="68"/>
      <c r="J463" s="380" t="s">
        <v>3038</v>
      </c>
      <c r="K463" s="68"/>
      <c r="L463" s="68"/>
      <c r="M463" s="68"/>
      <c r="N463" s="882"/>
      <c r="O463" s="2406"/>
      <c r="P463" s="2406"/>
      <c r="Q463" s="68"/>
    </row>
    <row r="464" spans="3:17" s="115" customFormat="1">
      <c r="C464" s="1406" t="s">
        <v>2108</v>
      </c>
      <c r="D464" s="68"/>
      <c r="E464" s="68"/>
      <c r="F464" s="68"/>
      <c r="G464" s="68"/>
      <c r="H464" s="68"/>
      <c r="I464" s="68"/>
      <c r="J464" s="68" t="s">
        <v>3022</v>
      </c>
      <c r="K464" s="68"/>
      <c r="L464" s="68"/>
      <c r="M464" s="68"/>
      <c r="N464" s="882"/>
      <c r="O464" s="2406">
        <v>2</v>
      </c>
      <c r="P464" s="2406"/>
      <c r="Q464" s="68"/>
    </row>
    <row r="465" spans="1:17" s="115" customFormat="1">
      <c r="C465" s="68"/>
      <c r="D465" s="68"/>
      <c r="E465" s="68"/>
      <c r="F465" s="68"/>
      <c r="G465" s="68"/>
      <c r="H465" s="68"/>
      <c r="I465" s="68"/>
      <c r="J465" s="68" t="s">
        <v>3023</v>
      </c>
      <c r="K465" s="68"/>
      <c r="L465" s="68"/>
      <c r="M465" s="68"/>
      <c r="N465" s="882"/>
      <c r="O465" s="2406">
        <v>2</v>
      </c>
      <c r="P465" s="2406"/>
      <c r="Q465" s="68"/>
    </row>
    <row r="466" spans="1:17" s="115" customFormat="1">
      <c r="C466" s="68"/>
      <c r="D466" s="68"/>
      <c r="E466" s="68"/>
      <c r="F466" s="68"/>
      <c r="G466" s="4661" t="s">
        <v>1407</v>
      </c>
      <c r="H466" s="4661"/>
      <c r="I466" s="4661"/>
      <c r="J466" s="68" t="s">
        <v>3024</v>
      </c>
      <c r="K466" s="68"/>
      <c r="L466" s="68"/>
      <c r="M466" s="68"/>
      <c r="N466" s="882"/>
      <c r="O466" s="2406">
        <v>2</v>
      </c>
      <c r="P466" s="2406"/>
      <c r="Q466" s="68"/>
    </row>
    <row r="467" spans="1:17" s="115" customFormat="1">
      <c r="C467" s="68"/>
      <c r="D467" s="68"/>
      <c r="E467" s="68"/>
      <c r="F467" s="68"/>
      <c r="G467" s="1848" t="s">
        <v>4063</v>
      </c>
      <c r="H467" s="68" t="s">
        <v>4064</v>
      </c>
      <c r="I467" s="1848" t="s">
        <v>4062</v>
      </c>
      <c r="J467" s="68" t="s">
        <v>3025</v>
      </c>
      <c r="K467" s="68"/>
      <c r="L467" s="1848"/>
      <c r="M467" s="68"/>
      <c r="N467" s="882"/>
      <c r="O467" s="2406">
        <v>2</v>
      </c>
      <c r="P467" s="2406"/>
      <c r="Q467" s="68"/>
    </row>
    <row r="468" spans="1:17" s="115" customFormat="1">
      <c r="C468" s="503"/>
      <c r="D468" s="68"/>
      <c r="E468" s="68"/>
      <c r="F468" s="68"/>
      <c r="G468" s="1508" t="s">
        <v>2320</v>
      </c>
      <c r="H468" s="68"/>
      <c r="I468" s="1508"/>
      <c r="J468" s="68" t="s">
        <v>3249</v>
      </c>
      <c r="K468" s="68"/>
      <c r="L468" s="1508"/>
      <c r="M468" s="68"/>
      <c r="N468" s="882"/>
      <c r="O468" s="2406">
        <v>2</v>
      </c>
      <c r="P468" s="2406"/>
      <c r="Q468" s="68"/>
    </row>
    <row r="469" spans="1:17" s="115" customFormat="1">
      <c r="C469" s="503"/>
      <c r="D469" s="68"/>
      <c r="E469" s="68"/>
      <c r="F469" s="68"/>
      <c r="G469" s="1508" t="s">
        <v>436</v>
      </c>
      <c r="H469" s="882" t="s">
        <v>4066</v>
      </c>
      <c r="I469" s="1848" t="s">
        <v>2453</v>
      </c>
      <c r="J469" s="68" t="s">
        <v>3026</v>
      </c>
      <c r="K469" s="68"/>
      <c r="L469" s="503"/>
      <c r="M469" s="68"/>
      <c r="N469" s="882"/>
      <c r="O469" s="2406">
        <v>1</v>
      </c>
      <c r="P469" s="2406"/>
      <c r="Q469" s="68"/>
    </row>
    <row r="470" spans="1:17" s="115" customFormat="1">
      <c r="C470" s="503"/>
      <c r="D470" s="68"/>
      <c r="E470" s="68"/>
      <c r="F470" s="68"/>
      <c r="G470" s="1508" t="s">
        <v>1657</v>
      </c>
      <c r="H470" s="882">
        <v>2020</v>
      </c>
      <c r="I470" s="882" t="s">
        <v>4065</v>
      </c>
      <c r="J470" s="68" t="s">
        <v>3027</v>
      </c>
      <c r="K470" s="68"/>
      <c r="L470" s="503"/>
      <c r="M470" s="68"/>
      <c r="N470" s="882"/>
      <c r="O470" s="2406">
        <v>1</v>
      </c>
      <c r="P470" s="2406"/>
      <c r="Q470" s="68"/>
    </row>
    <row r="471" spans="1:17" s="115" customFormat="1">
      <c r="C471" s="503"/>
      <c r="D471" s="68"/>
      <c r="E471" s="68"/>
      <c r="F471" s="68"/>
      <c r="G471" s="1508" t="s">
        <v>2351</v>
      </c>
      <c r="H471" s="882" t="s">
        <v>1610</v>
      </c>
      <c r="I471" s="1848" t="s">
        <v>2453</v>
      </c>
      <c r="J471" s="68" t="s">
        <v>3028</v>
      </c>
      <c r="K471" s="68"/>
      <c r="L471" s="503"/>
      <c r="M471" s="68"/>
      <c r="N471" s="882"/>
      <c r="O471" s="2406">
        <v>1</v>
      </c>
      <c r="P471" s="2406"/>
      <c r="Q471" s="68"/>
    </row>
    <row r="472" spans="1:17" s="115" customFormat="1">
      <c r="C472" s="503"/>
      <c r="D472" s="68"/>
      <c r="E472" s="68"/>
      <c r="F472" s="68"/>
      <c r="G472" s="1508" t="s">
        <v>971</v>
      </c>
      <c r="H472" s="882">
        <v>2020</v>
      </c>
      <c r="I472" s="882" t="s">
        <v>4065</v>
      </c>
      <c r="J472" s="68" t="s">
        <v>3250</v>
      </c>
      <c r="K472" s="68"/>
      <c r="L472" s="503"/>
      <c r="M472" s="68"/>
      <c r="N472" s="882"/>
      <c r="O472" s="2406">
        <v>1</v>
      </c>
      <c r="P472" s="2406"/>
      <c r="Q472" s="68"/>
    </row>
    <row r="473" spans="1:17" s="115" customFormat="1">
      <c r="C473" s="503"/>
      <c r="D473" s="68"/>
      <c r="E473" s="68"/>
      <c r="F473" s="68"/>
      <c r="G473" s="1508" t="s">
        <v>3272</v>
      </c>
      <c r="H473" s="882">
        <v>2019</v>
      </c>
      <c r="I473" s="882" t="s">
        <v>4065</v>
      </c>
      <c r="J473" s="68" t="s">
        <v>3036</v>
      </c>
      <c r="K473" s="68"/>
      <c r="L473" s="503"/>
      <c r="M473" s="68"/>
      <c r="N473" s="882"/>
      <c r="O473" s="2406">
        <v>1</v>
      </c>
      <c r="P473" s="2406"/>
      <c r="Q473" s="68"/>
    </row>
    <row r="474" spans="1:17" s="115" customFormat="1">
      <c r="C474" s="503"/>
      <c r="D474" s="68"/>
      <c r="E474" s="68"/>
      <c r="F474" s="68"/>
      <c r="G474" s="1508" t="s">
        <v>340</v>
      </c>
      <c r="H474" s="882" t="s">
        <v>1610</v>
      </c>
      <c r="I474" s="1848" t="s">
        <v>2453</v>
      </c>
      <c r="J474" s="68" t="s">
        <v>3029</v>
      </c>
      <c r="K474" s="68"/>
      <c r="L474" s="503"/>
      <c r="M474" s="68"/>
      <c r="N474" s="882"/>
      <c r="O474" s="2406">
        <v>1</v>
      </c>
      <c r="P474" s="2406"/>
      <c r="Q474" s="68"/>
    </row>
    <row r="475" spans="1:17" s="115" customFormat="1">
      <c r="C475" s="503"/>
      <c r="D475" s="68"/>
      <c r="E475" s="68"/>
      <c r="F475" s="68"/>
      <c r="G475" s="1508" t="s">
        <v>1633</v>
      </c>
      <c r="H475" s="882">
        <v>2020</v>
      </c>
      <c r="I475" s="882" t="s">
        <v>4065</v>
      </c>
      <c r="J475" s="68" t="s">
        <v>3030</v>
      </c>
      <c r="K475" s="68"/>
      <c r="L475" s="503"/>
      <c r="M475" s="68"/>
      <c r="N475" s="882"/>
      <c r="O475" s="2406">
        <v>1</v>
      </c>
      <c r="P475" s="2406"/>
      <c r="Q475" s="68"/>
    </row>
    <row r="476" spans="1:17" s="115" customFormat="1">
      <c r="C476" s="503"/>
      <c r="D476" s="68"/>
      <c r="E476" s="68"/>
      <c r="F476" s="68"/>
      <c r="G476" s="1508" t="s">
        <v>1909</v>
      </c>
      <c r="H476" s="882" t="s">
        <v>4066</v>
      </c>
      <c r="I476" s="1848" t="s">
        <v>2453</v>
      </c>
      <c r="J476" s="68" t="s">
        <v>3031</v>
      </c>
      <c r="K476" s="68"/>
      <c r="L476" s="503"/>
      <c r="M476" s="68"/>
      <c r="N476" s="882"/>
      <c r="O476" s="2406">
        <v>1</v>
      </c>
      <c r="P476" s="2406"/>
      <c r="Q476" s="68"/>
    </row>
    <row r="477" spans="1:17" s="115" customFormat="1">
      <c r="C477" s="68"/>
      <c r="D477" s="68"/>
      <c r="E477" s="68"/>
      <c r="F477" s="68"/>
      <c r="G477" s="1508" t="s">
        <v>82</v>
      </c>
      <c r="H477" s="882" t="s">
        <v>4066</v>
      </c>
      <c r="I477" s="1848" t="s">
        <v>2453</v>
      </c>
      <c r="J477" s="68" t="s">
        <v>3032</v>
      </c>
      <c r="K477" s="68"/>
      <c r="L477" s="503"/>
      <c r="M477" s="68"/>
      <c r="N477" s="882"/>
      <c r="O477" s="2406">
        <v>1</v>
      </c>
      <c r="P477" s="2406"/>
      <c r="Q477" s="68"/>
    </row>
    <row r="478" spans="1:17" s="115" customFormat="1">
      <c r="C478" s="68"/>
      <c r="D478" s="68"/>
      <c r="E478" s="68"/>
      <c r="F478" s="68"/>
      <c r="G478" s="1508" t="s">
        <v>837</v>
      </c>
      <c r="H478" s="882">
        <v>2019</v>
      </c>
      <c r="I478" s="882" t="s">
        <v>4065</v>
      </c>
      <c r="J478" s="68" t="s">
        <v>3035</v>
      </c>
      <c r="K478" s="68"/>
      <c r="L478" s="503"/>
      <c r="M478" s="68"/>
      <c r="N478" s="882"/>
      <c r="O478" s="2406">
        <v>1</v>
      </c>
      <c r="P478" s="2406"/>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6">
        <v>1</v>
      </c>
      <c r="P479" s="2406"/>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6">
        <v>1</v>
      </c>
      <c r="P480" s="2406"/>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6"/>
      <c r="P481" s="2406"/>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6"/>
      <c r="P482" s="2406"/>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6"/>
      <c r="P483" s="2406"/>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6"/>
      <c r="P484" s="2406"/>
      <c r="Q484" s="68"/>
    </row>
    <row r="485" spans="1:17" s="115" customFormat="1">
      <c r="C485" s="503"/>
      <c r="D485" s="68"/>
      <c r="E485" s="68"/>
      <c r="F485" s="68"/>
      <c r="G485" s="1508" t="s">
        <v>921</v>
      </c>
      <c r="H485" s="882">
        <v>2020</v>
      </c>
      <c r="I485" s="882" t="s">
        <v>4065</v>
      </c>
      <c r="J485" s="68" t="s">
        <v>3331</v>
      </c>
      <c r="K485" s="68"/>
      <c r="L485" s="503"/>
      <c r="M485" s="68"/>
      <c r="N485" s="882"/>
      <c r="O485" s="2406"/>
      <c r="P485" s="2406"/>
      <c r="Q485" s="68"/>
    </row>
    <row r="486" spans="1:17" s="115" customFormat="1">
      <c r="C486" s="503"/>
      <c r="D486" s="68"/>
      <c r="E486" s="68"/>
      <c r="F486" s="68"/>
      <c r="G486" s="1508" t="s">
        <v>532</v>
      </c>
      <c r="H486" s="882">
        <v>2020</v>
      </c>
      <c r="I486" s="882" t="s">
        <v>4065</v>
      </c>
      <c r="J486" s="68" t="s">
        <v>3253</v>
      </c>
      <c r="K486" s="68"/>
      <c r="L486" s="503"/>
      <c r="M486" s="68"/>
      <c r="N486" s="882"/>
      <c r="O486" s="2406"/>
      <c r="P486" s="2406"/>
      <c r="Q486" s="68"/>
    </row>
    <row r="487" spans="1:17" s="115" customFormat="1">
      <c r="C487" s="503"/>
      <c r="D487" s="68"/>
      <c r="E487" s="68"/>
      <c r="F487" s="68"/>
      <c r="G487" s="1508" t="s">
        <v>809</v>
      </c>
      <c r="H487" s="882" t="s">
        <v>4066</v>
      </c>
      <c r="I487" s="1848" t="s">
        <v>2453</v>
      </c>
      <c r="J487" s="68" t="s">
        <v>3327</v>
      </c>
      <c r="K487" s="68"/>
      <c r="L487" s="503"/>
      <c r="M487" s="68"/>
      <c r="N487" s="882"/>
      <c r="O487" s="2406"/>
      <c r="P487" s="2406"/>
      <c r="Q487" s="68"/>
    </row>
    <row r="488" spans="1:17" s="115" customFormat="1">
      <c r="C488" s="503"/>
      <c r="D488" s="68"/>
      <c r="E488" s="68"/>
      <c r="F488" s="68"/>
      <c r="G488" s="1508" t="s">
        <v>3019</v>
      </c>
      <c r="H488" s="882">
        <v>2019</v>
      </c>
      <c r="I488" s="882" t="s">
        <v>4065</v>
      </c>
      <c r="J488" s="68" t="s">
        <v>3254</v>
      </c>
      <c r="K488" s="68"/>
      <c r="L488" s="503"/>
      <c r="M488" s="68"/>
      <c r="N488" s="882"/>
      <c r="O488" s="2406"/>
      <c r="P488" s="2406"/>
      <c r="Q488" s="68"/>
    </row>
    <row r="489" spans="1:17" s="115" customFormat="1">
      <c r="C489" s="68"/>
      <c r="D489" s="68"/>
      <c r="E489" s="68"/>
      <c r="F489" s="68"/>
      <c r="G489" s="1508" t="s">
        <v>764</v>
      </c>
      <c r="H489" s="882">
        <v>2019</v>
      </c>
      <c r="I489" s="882" t="s">
        <v>4065</v>
      </c>
      <c r="J489" s="68" t="s">
        <v>3328</v>
      </c>
      <c r="K489" s="68"/>
      <c r="L489" s="503"/>
      <c r="M489" s="68"/>
      <c r="N489" s="882"/>
      <c r="O489" s="2406"/>
      <c r="P489" s="2406"/>
      <c r="Q489" s="68"/>
    </row>
    <row r="490" spans="1:17" s="115" customFormat="1">
      <c r="C490" s="68"/>
      <c r="D490" s="68"/>
      <c r="E490" s="68"/>
      <c r="F490" s="68"/>
      <c r="G490" s="1508" t="s">
        <v>172</v>
      </c>
      <c r="H490" s="882">
        <v>2019</v>
      </c>
      <c r="I490" s="882" t="s">
        <v>4065</v>
      </c>
      <c r="J490" s="68" t="s">
        <v>3255</v>
      </c>
      <c r="K490" s="68"/>
      <c r="L490" s="68"/>
      <c r="M490" s="68"/>
      <c r="N490" s="882"/>
      <c r="O490" s="2406"/>
      <c r="P490" s="2406"/>
      <c r="Q490" s="68"/>
    </row>
    <row r="491" spans="1:17" s="115" customFormat="1">
      <c r="C491" s="68"/>
      <c r="D491" s="68"/>
      <c r="E491" s="68"/>
      <c r="F491" s="68"/>
      <c r="G491" s="1508" t="s">
        <v>3345</v>
      </c>
      <c r="H491" s="882" t="s">
        <v>4066</v>
      </c>
      <c r="I491" s="1848" t="s">
        <v>2453</v>
      </c>
      <c r="J491" s="68" t="s">
        <v>3329</v>
      </c>
      <c r="K491" s="68"/>
      <c r="L491" s="503"/>
      <c r="M491" s="68"/>
      <c r="N491" s="882"/>
      <c r="O491" s="2406"/>
      <c r="P491" s="2406"/>
      <c r="Q491" s="68"/>
    </row>
    <row r="492" spans="1:17" s="115" customFormat="1">
      <c r="C492" s="68"/>
      <c r="D492" s="68"/>
      <c r="E492" s="68"/>
      <c r="F492" s="68"/>
      <c r="G492" s="1508" t="s">
        <v>507</v>
      </c>
      <c r="H492" s="882">
        <v>2020</v>
      </c>
      <c r="I492" s="882" t="s">
        <v>4065</v>
      </c>
      <c r="J492" s="68" t="s">
        <v>3332</v>
      </c>
      <c r="K492" s="68"/>
      <c r="L492" s="503"/>
      <c r="M492" s="68"/>
      <c r="N492" s="882"/>
      <c r="O492" s="2406"/>
      <c r="P492" s="2406"/>
      <c r="Q492" s="68"/>
    </row>
    <row r="493" spans="1:17" s="115" customFormat="1">
      <c r="C493" s="68"/>
      <c r="D493" s="68"/>
      <c r="E493" s="68"/>
      <c r="F493" s="68"/>
      <c r="G493" s="1508" t="s">
        <v>376</v>
      </c>
      <c r="H493" s="882">
        <v>2020</v>
      </c>
      <c r="I493" s="882" t="s">
        <v>4065</v>
      </c>
      <c r="J493" s="68" t="s">
        <v>3335</v>
      </c>
      <c r="K493" s="68"/>
      <c r="L493" s="68"/>
      <c r="M493" s="68"/>
      <c r="N493" s="882"/>
      <c r="O493" s="2406"/>
      <c r="P493" s="2406"/>
      <c r="Q493" s="68"/>
    </row>
    <row r="494" spans="1:17" s="115" customFormat="1">
      <c r="C494" s="68"/>
      <c r="D494" s="697"/>
      <c r="E494" s="68"/>
      <c r="F494" s="68"/>
      <c r="G494" s="1508" t="s">
        <v>1349</v>
      </c>
      <c r="H494" s="882" t="s">
        <v>4066</v>
      </c>
      <c r="I494" s="1848" t="s">
        <v>2453</v>
      </c>
      <c r="J494" s="68" t="s">
        <v>3256</v>
      </c>
      <c r="K494" s="68"/>
      <c r="L494" s="503"/>
      <c r="M494" s="68"/>
      <c r="N494" s="882"/>
      <c r="O494" s="2406"/>
      <c r="P494" s="2406"/>
      <c r="Q494" s="68"/>
    </row>
    <row r="495" spans="1:17" s="115" customFormat="1">
      <c r="C495" s="68"/>
      <c r="D495" s="697"/>
      <c r="E495" s="68"/>
      <c r="F495" s="68"/>
      <c r="G495" s="1508" t="s">
        <v>1707</v>
      </c>
      <c r="H495" s="882" t="s">
        <v>4066</v>
      </c>
      <c r="I495" s="1848" t="s">
        <v>2453</v>
      </c>
      <c r="J495" s="68" t="s">
        <v>3257</v>
      </c>
      <c r="K495" s="68"/>
      <c r="L495" s="503"/>
      <c r="M495" s="68"/>
      <c r="N495" s="882"/>
      <c r="O495" s="2406"/>
      <c r="P495" s="2406"/>
      <c r="Q495" s="68"/>
    </row>
    <row r="496" spans="1:17" s="115" customFormat="1">
      <c r="C496" s="68"/>
      <c r="D496" s="68"/>
      <c r="E496" s="68"/>
      <c r="F496" s="68"/>
      <c r="G496" s="1508" t="s">
        <v>1969</v>
      </c>
      <c r="H496" s="882">
        <v>2020</v>
      </c>
      <c r="I496" s="882" t="s">
        <v>4065</v>
      </c>
      <c r="J496" s="68" t="s">
        <v>3330</v>
      </c>
      <c r="K496" s="68"/>
      <c r="L496" s="503"/>
      <c r="M496" s="68"/>
      <c r="N496" s="882"/>
      <c r="O496" s="2406"/>
      <c r="P496" s="2406"/>
      <c r="Q496" s="68"/>
    </row>
    <row r="497" spans="3:17" s="115" customFormat="1">
      <c r="C497" s="68"/>
      <c r="D497" s="68"/>
      <c r="E497" s="68"/>
      <c r="F497" s="68"/>
      <c r="G497" s="1508" t="s">
        <v>1352</v>
      </c>
      <c r="H497" s="882">
        <v>2019</v>
      </c>
      <c r="I497" s="882" t="s">
        <v>4065</v>
      </c>
      <c r="J497" s="68" t="s">
        <v>3333</v>
      </c>
      <c r="K497" s="68"/>
      <c r="L497" s="68"/>
      <c r="M497" s="68"/>
      <c r="N497" s="882"/>
      <c r="O497" s="2406"/>
      <c r="P497" s="2406"/>
      <c r="Q497" s="68"/>
    </row>
    <row r="498" spans="3:17" s="115" customFormat="1">
      <c r="C498" s="68"/>
      <c r="D498" s="68"/>
      <c r="E498" s="68"/>
      <c r="F498" s="68"/>
      <c r="G498" s="1508" t="s">
        <v>235</v>
      </c>
      <c r="H498" s="882">
        <v>2019</v>
      </c>
      <c r="I498" s="882" t="s">
        <v>4065</v>
      </c>
      <c r="J498" s="68" t="s">
        <v>3334</v>
      </c>
      <c r="K498" s="68"/>
      <c r="L498" s="503"/>
      <c r="M498" s="68"/>
      <c r="N498" s="882"/>
      <c r="O498" s="2406"/>
      <c r="P498" s="2406"/>
      <c r="Q498" s="68"/>
    </row>
    <row r="499" spans="3:17" s="115" customFormat="1">
      <c r="C499" s="68"/>
      <c r="D499" s="68"/>
      <c r="E499" s="68"/>
      <c r="F499" s="68"/>
      <c r="G499" s="1508" t="s">
        <v>978</v>
      </c>
      <c r="H499" s="882">
        <v>2020</v>
      </c>
      <c r="I499" s="882" t="s">
        <v>4065</v>
      </c>
      <c r="J499" s="68" t="s">
        <v>3258</v>
      </c>
      <c r="K499" s="68"/>
      <c r="L499" s="503"/>
      <c r="M499" s="68"/>
      <c r="N499" s="882"/>
      <c r="O499" s="2406"/>
      <c r="P499" s="2406"/>
      <c r="Q499" s="68"/>
    </row>
    <row r="500" spans="3:17" s="115" customFormat="1">
      <c r="C500" s="697"/>
      <c r="D500" s="68"/>
      <c r="E500" s="68"/>
      <c r="F500" s="68"/>
      <c r="G500" s="1508" t="s">
        <v>2096</v>
      </c>
      <c r="H500" s="882">
        <v>2020</v>
      </c>
      <c r="I500" s="882" t="s">
        <v>4065</v>
      </c>
      <c r="J500" s="68" t="s">
        <v>3259</v>
      </c>
      <c r="K500" s="68"/>
      <c r="L500" s="503"/>
      <c r="M500" s="68"/>
      <c r="N500" s="882"/>
      <c r="O500" s="2406"/>
      <c r="P500" s="2406"/>
      <c r="Q500" s="68"/>
    </row>
    <row r="501" spans="3:17" s="115" customFormat="1">
      <c r="C501" s="697"/>
      <c r="D501" s="68"/>
      <c r="E501" s="68"/>
      <c r="F501" s="68"/>
      <c r="G501" s="1508" t="s">
        <v>4060</v>
      </c>
      <c r="H501" s="882" t="s">
        <v>4066</v>
      </c>
      <c r="I501" s="1848" t="s">
        <v>2453</v>
      </c>
      <c r="J501" s="68"/>
      <c r="K501" s="68"/>
      <c r="L501" s="503"/>
      <c r="M501" s="68"/>
      <c r="N501" s="882"/>
      <c r="O501" s="2406"/>
      <c r="P501" s="2406"/>
      <c r="Q501" s="68"/>
    </row>
    <row r="502" spans="3:17" s="115" customFormat="1">
      <c r="C502" s="697"/>
      <c r="D502" s="68"/>
      <c r="E502" s="68"/>
      <c r="F502" s="68"/>
      <c r="G502" s="1508" t="s">
        <v>1749</v>
      </c>
      <c r="H502" s="882" t="s">
        <v>4066</v>
      </c>
      <c r="I502" s="1848" t="s">
        <v>2453</v>
      </c>
      <c r="J502" s="68"/>
      <c r="K502" s="68"/>
      <c r="L502" s="503"/>
      <c r="M502" s="68"/>
      <c r="N502" s="882"/>
      <c r="O502" s="2406"/>
      <c r="P502" s="2406"/>
      <c r="Q502" s="68"/>
    </row>
    <row r="503" spans="3:17" s="115" customFormat="1">
      <c r="C503" s="697"/>
      <c r="D503" s="68"/>
      <c r="E503" s="68"/>
      <c r="F503" s="68"/>
      <c r="G503" s="1508" t="s">
        <v>472</v>
      </c>
      <c r="H503" s="882" t="s">
        <v>4066</v>
      </c>
      <c r="I503" s="1848" t="s">
        <v>2453</v>
      </c>
      <c r="J503" s="68"/>
      <c r="K503" s="68"/>
      <c r="L503" s="503"/>
      <c r="M503" s="68"/>
      <c r="N503" s="882"/>
      <c r="O503" s="2406"/>
      <c r="P503" s="2406"/>
      <c r="Q503" s="68"/>
    </row>
    <row r="504" spans="3:17" s="115" customFormat="1">
      <c r="C504" s="697"/>
      <c r="D504" s="68"/>
      <c r="E504" s="68"/>
      <c r="F504" s="68"/>
      <c r="G504" s="1508" t="s">
        <v>1951</v>
      </c>
      <c r="H504" s="882" t="s">
        <v>4066</v>
      </c>
      <c r="I504" s="1848" t="s">
        <v>2453</v>
      </c>
      <c r="J504" s="68"/>
      <c r="K504" s="68"/>
      <c r="L504" s="503"/>
      <c r="M504" s="68"/>
      <c r="N504" s="882"/>
      <c r="O504" s="2406"/>
      <c r="P504" s="2406"/>
      <c r="Q504" s="68"/>
    </row>
    <row r="505" spans="3:17" s="115" customFormat="1">
      <c r="C505" s="697"/>
      <c r="D505" s="68"/>
      <c r="E505" s="68"/>
      <c r="F505" s="68"/>
      <c r="G505" s="1508" t="s">
        <v>2088</v>
      </c>
      <c r="H505" s="882">
        <v>2020</v>
      </c>
      <c r="I505" s="882" t="s">
        <v>4065</v>
      </c>
      <c r="J505" s="68"/>
      <c r="K505" s="68"/>
      <c r="L505" s="503"/>
      <c r="M505" s="68"/>
      <c r="N505" s="882"/>
      <c r="O505" s="2406"/>
      <c r="P505" s="2406"/>
      <c r="Q505" s="68"/>
    </row>
    <row r="506" spans="3:17" s="115" customFormat="1">
      <c r="C506" s="697"/>
      <c r="D506" s="68"/>
      <c r="E506" s="68"/>
      <c r="F506" s="68"/>
      <c r="G506" s="1508" t="s">
        <v>1974</v>
      </c>
      <c r="H506" s="882">
        <v>2020</v>
      </c>
      <c r="I506" s="882" t="s">
        <v>4065</v>
      </c>
      <c r="J506" s="68"/>
      <c r="K506" s="68"/>
      <c r="L506" s="68"/>
      <c r="M506" s="68"/>
      <c r="N506" s="882"/>
      <c r="O506" s="2406"/>
      <c r="P506" s="2406"/>
      <c r="Q506" s="68"/>
    </row>
    <row r="507" spans="3:17" s="115" customFormat="1">
      <c r="C507" s="68"/>
      <c r="D507" s="68"/>
      <c r="E507" s="68"/>
      <c r="F507" s="68"/>
      <c r="G507" s="1508" t="s">
        <v>2154</v>
      </c>
      <c r="H507" s="882">
        <v>2019</v>
      </c>
      <c r="I507" s="882" t="s">
        <v>4065</v>
      </c>
      <c r="J507" s="68"/>
      <c r="K507" s="68"/>
      <c r="L507" s="68"/>
      <c r="M507" s="68"/>
      <c r="N507" s="882"/>
      <c r="O507" s="2406"/>
      <c r="P507" s="2406"/>
      <c r="Q507" s="68"/>
    </row>
    <row r="508" spans="3:17" s="115" customFormat="1">
      <c r="C508" s="68"/>
      <c r="D508" s="68"/>
      <c r="E508" s="68"/>
      <c r="F508" s="68"/>
      <c r="G508" s="1508" t="s">
        <v>4061</v>
      </c>
      <c r="H508" s="68"/>
      <c r="I508" s="68"/>
      <c r="J508" s="68"/>
      <c r="K508" s="68"/>
      <c r="L508" s="68"/>
      <c r="M508" s="68"/>
      <c r="N508" s="882"/>
      <c r="O508" s="2406"/>
      <c r="P508" s="2406"/>
      <c r="Q508" s="68"/>
    </row>
    <row r="509" spans="3:17" s="115" customFormat="1">
      <c r="C509" s="68"/>
      <c r="D509" s="68"/>
      <c r="E509" s="68"/>
      <c r="F509" s="68"/>
      <c r="G509" s="1508" t="s">
        <v>1574</v>
      </c>
      <c r="H509" s="882">
        <v>2019</v>
      </c>
      <c r="I509" s="882" t="s">
        <v>4065</v>
      </c>
      <c r="J509" s="68"/>
      <c r="K509" s="68"/>
      <c r="L509" s="68"/>
      <c r="M509" s="68"/>
      <c r="N509" s="882"/>
      <c r="O509" s="2406"/>
      <c r="P509" s="2406"/>
      <c r="Q509" s="68"/>
    </row>
    <row r="510" spans="3:17" s="115" customFormat="1">
      <c r="C510" s="68"/>
      <c r="D510" s="68"/>
      <c r="E510" s="68"/>
      <c r="F510" s="68"/>
      <c r="G510" s="1508" t="s">
        <v>1577</v>
      </c>
      <c r="H510" s="882">
        <v>2020</v>
      </c>
      <c r="I510" s="882" t="s">
        <v>4065</v>
      </c>
      <c r="J510" s="68"/>
      <c r="K510" s="68"/>
      <c r="L510" s="68"/>
      <c r="M510" s="68"/>
      <c r="N510" s="882"/>
      <c r="O510" s="2406"/>
      <c r="P510" s="2406"/>
      <c r="Q510" s="68"/>
    </row>
    <row r="511" spans="3:17" s="115" customFormat="1">
      <c r="C511" s="68"/>
      <c r="D511" s="68"/>
      <c r="E511" s="68"/>
      <c r="F511" s="68"/>
      <c r="G511" s="1508" t="s">
        <v>1582</v>
      </c>
      <c r="H511" s="882">
        <v>2020</v>
      </c>
      <c r="I511" s="882" t="s">
        <v>4065</v>
      </c>
      <c r="J511" s="68"/>
      <c r="K511" s="68"/>
      <c r="L511" s="68"/>
      <c r="M511" s="68"/>
      <c r="N511" s="882"/>
      <c r="O511" s="2406"/>
      <c r="P511" s="2406"/>
      <c r="Q511" s="68"/>
    </row>
    <row r="512" spans="3:17" s="115" customFormat="1">
      <c r="C512" s="68"/>
      <c r="D512" s="68"/>
      <c r="E512" s="68"/>
      <c r="F512" s="68"/>
      <c r="G512" s="1508" t="s">
        <v>1590</v>
      </c>
      <c r="H512" s="882">
        <v>2020</v>
      </c>
      <c r="I512" s="882" t="s">
        <v>4065</v>
      </c>
      <c r="J512" s="68"/>
      <c r="K512" s="68"/>
      <c r="L512" s="68"/>
      <c r="M512" s="68"/>
      <c r="N512" s="882"/>
      <c r="O512" s="2406"/>
      <c r="P512" s="2406"/>
      <c r="Q512" s="68"/>
    </row>
    <row r="513" spans="3:17" s="115" customFormat="1">
      <c r="C513" s="68"/>
      <c r="D513" s="68"/>
      <c r="E513" s="68"/>
      <c r="F513" s="68"/>
      <c r="G513" s="1508" t="s">
        <v>1591</v>
      </c>
      <c r="H513" s="882">
        <v>2019</v>
      </c>
      <c r="I513" s="882" t="s">
        <v>4065</v>
      </c>
      <c r="J513" s="68"/>
      <c r="K513" s="68"/>
      <c r="L513" s="68"/>
      <c r="M513" s="68"/>
      <c r="N513" s="882"/>
      <c r="O513" s="2406"/>
      <c r="P513" s="2406"/>
      <c r="Q513" s="68"/>
    </row>
    <row r="514" spans="3:17" s="115" customFormat="1">
      <c r="C514" s="68"/>
      <c r="D514" s="68"/>
      <c r="E514" s="68"/>
      <c r="F514" s="68"/>
      <c r="G514" s="1508" t="s">
        <v>100</v>
      </c>
      <c r="H514" s="882">
        <v>2020</v>
      </c>
      <c r="I514" s="882" t="s">
        <v>4065</v>
      </c>
      <c r="J514" s="68"/>
      <c r="K514" s="68"/>
      <c r="L514" s="68"/>
      <c r="M514" s="68"/>
      <c r="N514" s="882"/>
      <c r="O514" s="2406"/>
      <c r="P514" s="2406"/>
      <c r="Q514" s="68"/>
    </row>
    <row r="515" spans="3:17" s="115" customFormat="1">
      <c r="C515" s="68"/>
      <c r="D515" s="68"/>
      <c r="E515" s="68"/>
      <c r="F515" s="68"/>
      <c r="G515" s="1508" t="s">
        <v>285</v>
      </c>
      <c r="H515" s="882">
        <v>2020</v>
      </c>
      <c r="I515" s="882" t="s">
        <v>4065</v>
      </c>
      <c r="J515" s="68"/>
      <c r="K515" s="68"/>
      <c r="L515" s="68"/>
      <c r="M515" s="68"/>
      <c r="N515" s="882"/>
      <c r="O515" s="2406"/>
      <c r="P515" s="2406"/>
      <c r="Q515" s="68"/>
    </row>
    <row r="516" spans="3:17" s="115" customFormat="1">
      <c r="C516" s="68"/>
      <c r="D516" s="68"/>
      <c r="E516" s="68"/>
      <c r="F516" s="68"/>
      <c r="G516" s="1508" t="s">
        <v>1442</v>
      </c>
      <c r="H516" s="882" t="s">
        <v>4066</v>
      </c>
      <c r="I516" s="1848" t="s">
        <v>2453</v>
      </c>
      <c r="J516" s="68"/>
      <c r="K516" s="68"/>
      <c r="L516" s="68"/>
      <c r="M516" s="68"/>
      <c r="N516" s="882"/>
      <c r="O516" s="2406"/>
      <c r="P516" s="2406"/>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2" t="s">
        <v>2581</v>
      </c>
      <c r="B1" s="4732"/>
      <c r="C1" s="4732"/>
      <c r="D1" s="4732"/>
      <c r="E1" s="4732"/>
      <c r="F1" s="4732"/>
      <c r="G1" s="4732"/>
      <c r="H1" s="4732"/>
      <c r="I1" s="4732"/>
      <c r="J1" s="4732"/>
    </row>
    <row r="2" spans="1:16" ht="15.75">
      <c r="A2" s="4732" t="str">
        <f>'Sensitivity Analysis'!C8</f>
        <v>Helix</v>
      </c>
      <c r="B2" s="4732"/>
      <c r="C2" s="4732"/>
      <c r="D2" s="4732"/>
      <c r="E2" s="4732"/>
      <c r="F2" s="4732"/>
      <c r="G2" s="4732"/>
      <c r="H2" s="4732"/>
      <c r="I2" s="4732"/>
      <c r="J2" s="4732"/>
    </row>
    <row r="3" spans="1:16" ht="15.75">
      <c r="A3" s="4732" t="str">
        <f>'Subsidy Layering Memo'!F14</f>
        <v>Riverdale, Clayton</v>
      </c>
      <c r="B3" s="4732"/>
      <c r="C3" s="4732"/>
      <c r="D3" s="4732"/>
      <c r="E3" s="4732"/>
      <c r="F3" s="4732"/>
      <c r="G3" s="4732"/>
      <c r="H3" s="4732"/>
      <c r="I3" s="4732"/>
      <c r="J3" s="4732"/>
    </row>
    <row r="4" spans="1:16" ht="15.75">
      <c r="A4" s="4733" t="s">
        <v>2582</v>
      </c>
      <c r="B4" s="4732"/>
      <c r="C4" s="4732"/>
      <c r="D4" s="4732"/>
      <c r="E4" s="4732"/>
      <c r="F4" s="4732"/>
      <c r="G4" s="4732"/>
      <c r="H4" s="4732"/>
      <c r="I4" s="4732"/>
      <c r="J4" s="4732"/>
    </row>
    <row r="5" spans="1:16" ht="5.25" customHeight="1"/>
    <row r="6" spans="1:16" ht="5.25" customHeight="1"/>
    <row r="7" spans="1:16" ht="15.75">
      <c r="A7" s="4734" t="s">
        <v>2583</v>
      </c>
      <c r="B7" s="4734"/>
      <c r="C7" s="4735"/>
      <c r="M7" s="4726"/>
      <c r="N7" s="4726"/>
      <c r="O7" s="4726"/>
      <c r="P7" s="4726"/>
    </row>
    <row r="8" spans="1:16" ht="57" customHeight="1">
      <c r="A8" s="4727" t="s">
        <v>6151</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Riverdale, Clayton County, Georgia, with the development of 90 units set aside for &lt;&lt; Select PROPOSED Tenancy &gt;&gt;.</v>
      </c>
      <c r="B9" s="4727"/>
      <c r="C9" s="4727"/>
      <c r="D9" s="4727"/>
      <c r="E9" s="4727"/>
      <c r="F9" s="4727"/>
      <c r="G9" s="4727"/>
      <c r="H9" s="4727"/>
      <c r="I9" s="4727"/>
      <c r="J9" s="4727"/>
      <c r="K9" s="508"/>
    </row>
    <row r="10" spans="1:16" ht="15.75">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75">
      <c r="A14" s="509" t="s">
        <v>2585</v>
      </c>
      <c r="B14" s="510"/>
    </row>
    <row r="15" spans="1:16">
      <c r="A15" s="507" t="s">
        <v>2586</v>
      </c>
      <c r="D15" s="1020" t="s">
        <v>2587</v>
      </c>
    </row>
    <row r="16" spans="1:16">
      <c r="A16" s="507" t="s">
        <v>2588</v>
      </c>
      <c r="D16" s="1254">
        <f>'Sensitivity Analysis'!C25</f>
        <v>7273800</v>
      </c>
    </row>
    <row r="17" spans="1:11">
      <c r="A17" s="511" t="s">
        <v>2589</v>
      </c>
      <c r="D17" s="1255">
        <f>'Sensitivity Analysis'!C13</f>
        <v>90</v>
      </c>
    </row>
    <row r="18" spans="1:11" ht="14.25" customHeight="1"/>
    <row r="19" spans="1:11" ht="15.75">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10901410 via the syndication of the 2021 Federal LIHTC allocation of 1225000 per annum. will make a capital contribution totaling 7105000 via the syndication of the 2021 State LIHTC allocation of 1225000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1.47 (0.89 Federal tax credit and 0.58 State tax credit) for a (X%) ownership interest of the Federal Credits and a (X%) ownership interest of the State Credits. </v>
      </c>
      <c r="B22" s="4731"/>
      <c r="C22" s="4731"/>
      <c r="D22" s="4731"/>
      <c r="E22" s="4731"/>
      <c r="F22" s="4731"/>
      <c r="G22" s="4731"/>
      <c r="H22" s="4731"/>
      <c r="I22" s="4731"/>
      <c r="J22" s="4731"/>
    </row>
    <row r="23" spans="1:11" ht="15.75">
      <c r="A23" s="509" t="s">
        <v>6152</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I10" sqref="I10:J10"/>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51" t="str">
        <f>CONCATENATE("PART ONE - PROJECT INFORMATION"," - ",$O$7," ",$F$25,", ",'Part I-Project Identification'!F26,", ",'Part I-Project Identification'!J26," County")</f>
        <v>PART ONE - PROJECT INFORMATION - 2023-0 Helix, Riverdale, Clayton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6745</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7033</v>
      </c>
      <c r="B6" s="3066"/>
      <c r="C6" s="3066"/>
      <c r="D6" s="3066"/>
      <c r="F6" s="242"/>
      <c r="G6" s="224" t="s">
        <v>3823</v>
      </c>
      <c r="L6" s="375"/>
      <c r="P6" s="1788" t="s">
        <v>3289</v>
      </c>
      <c r="Z6" s="1706">
        <v>6</v>
      </c>
    </row>
    <row r="7" spans="1:26" s="144" customFormat="1" ht="12" customHeight="1" thickBot="1">
      <c r="A7" s="3066"/>
      <c r="B7" s="3066"/>
      <c r="C7" s="3066"/>
      <c r="D7" s="3066"/>
      <c r="E7" s="999"/>
      <c r="F7" s="244"/>
      <c r="G7" s="224" t="s">
        <v>6083</v>
      </c>
      <c r="H7" s="248"/>
      <c r="I7" s="248"/>
      <c r="J7" s="248"/>
      <c r="O7" s="3054" t="s">
        <v>6910</v>
      </c>
      <c r="P7" s="3055"/>
      <c r="Q7" s="3012" t="s">
        <v>6634</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3266</v>
      </c>
      <c r="I10" s="3056">
        <f>'Part III-A-Uses of Funds'!$J$191</f>
        <v>1225000</v>
      </c>
      <c r="J10" s="3057"/>
      <c r="L10" s="144" t="s">
        <v>3267</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7034</v>
      </c>
      <c r="G12" s="3061"/>
      <c r="H12" s="3062"/>
      <c r="I12" s="1789" t="s">
        <v>6517</v>
      </c>
      <c r="J12" s="393" t="s">
        <v>6942</v>
      </c>
      <c r="K12" s="243"/>
      <c r="L12" s="248"/>
      <c r="O12" s="3063" t="s">
        <v>7035</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3672</v>
      </c>
      <c r="D14" s="246"/>
      <c r="E14" s="245"/>
      <c r="G14" s="245"/>
      <c r="H14" s="245"/>
      <c r="I14" s="751" t="s">
        <v>3294</v>
      </c>
      <c r="L14" s="247"/>
      <c r="Q14" s="3014"/>
      <c r="R14" s="3015"/>
      <c r="S14" s="3016"/>
      <c r="Z14" s="1706">
        <v>14</v>
      </c>
    </row>
    <row r="15" spans="1:26" s="144" customFormat="1">
      <c r="B15" s="144" t="s">
        <v>3295</v>
      </c>
      <c r="F15" s="3041" t="s">
        <v>7036</v>
      </c>
      <c r="G15" s="3042"/>
      <c r="H15" s="3043"/>
      <c r="I15" s="2443" t="s">
        <v>1670</v>
      </c>
      <c r="J15" s="3044" t="s">
        <v>7037</v>
      </c>
      <c r="K15" s="3045"/>
      <c r="L15" s="3046"/>
      <c r="M15" s="1898" t="s">
        <v>1839</v>
      </c>
      <c r="N15" s="3041" t="s">
        <v>7038</v>
      </c>
      <c r="O15" s="3042"/>
      <c r="P15" s="3043"/>
      <c r="Q15" s="3014"/>
      <c r="R15" s="3015"/>
      <c r="S15" s="3016"/>
      <c r="Z15" s="1706">
        <v>15</v>
      </c>
    </row>
    <row r="16" spans="1:26" s="144" customFormat="1" ht="12.75" customHeight="1">
      <c r="B16" s="246" t="s">
        <v>1599</v>
      </c>
      <c r="F16" s="3035">
        <v>7707434124</v>
      </c>
      <c r="G16" s="3036"/>
      <c r="H16" s="3037"/>
      <c r="I16" s="2444" t="s">
        <v>1598</v>
      </c>
      <c r="J16" s="823">
        <v>2</v>
      </c>
      <c r="M16" s="246" t="s">
        <v>1600</v>
      </c>
      <c r="N16" s="3035">
        <v>6785928103</v>
      </c>
      <c r="O16" s="3036"/>
      <c r="P16" s="3037"/>
      <c r="Q16" s="3014"/>
      <c r="R16" s="3015"/>
      <c r="S16" s="3016"/>
      <c r="V16" s="751"/>
      <c r="W16" s="751"/>
      <c r="X16" s="751"/>
      <c r="Z16" s="1706">
        <v>18</v>
      </c>
    </row>
    <row r="17" spans="1:26" s="144" customFormat="1">
      <c r="B17" s="246" t="s">
        <v>1842</v>
      </c>
      <c r="F17" s="3069" t="s">
        <v>7039</v>
      </c>
      <c r="G17" s="3070"/>
      <c r="H17" s="3070"/>
      <c r="I17" s="3045"/>
      <c r="J17" s="3070"/>
      <c r="K17" s="3045"/>
      <c r="L17" s="3046"/>
      <c r="M17" s="246" t="s">
        <v>1838</v>
      </c>
      <c r="N17" s="3038">
        <v>6785928103</v>
      </c>
      <c r="O17" s="3039"/>
      <c r="P17" s="3040"/>
      <c r="Q17" s="3014"/>
      <c r="R17" s="3015"/>
      <c r="S17" s="3016"/>
      <c r="U17" s="751"/>
      <c r="V17" s="751"/>
      <c r="W17" s="751"/>
      <c r="X17" s="751"/>
      <c r="Z17" s="1706">
        <v>19</v>
      </c>
    </row>
    <row r="18" spans="1:26" s="144" customFormat="1">
      <c r="A18" s="375"/>
      <c r="B18" s="243" t="s">
        <v>3671</v>
      </c>
      <c r="C18" s="145"/>
      <c r="H18" s="248"/>
      <c r="J18" s="145"/>
      <c r="P18" s="248"/>
      <c r="Q18" s="3014"/>
      <c r="R18" s="3015"/>
      <c r="S18" s="3016"/>
      <c r="Z18" s="1706">
        <v>20</v>
      </c>
    </row>
    <row r="19" spans="1:26" s="144" customFormat="1">
      <c r="B19" s="144" t="s">
        <v>3295</v>
      </c>
      <c r="F19" s="3041" t="s">
        <v>7036</v>
      </c>
      <c r="G19" s="3042"/>
      <c r="H19" s="3043"/>
      <c r="I19" s="2443" t="s">
        <v>1670</v>
      </c>
      <c r="J19" s="3044" t="s">
        <v>7040</v>
      </c>
      <c r="K19" s="3045"/>
      <c r="L19" s="3046"/>
      <c r="M19" s="1898" t="s">
        <v>1839</v>
      </c>
      <c r="N19" s="3041" t="s">
        <v>7038</v>
      </c>
      <c r="O19" s="3042"/>
      <c r="P19" s="3043"/>
      <c r="Q19" s="3014"/>
      <c r="R19" s="3015"/>
      <c r="S19" s="3016"/>
      <c r="Z19" s="1706">
        <v>21</v>
      </c>
    </row>
    <row r="20" spans="1:26" s="144" customFormat="1">
      <c r="B20" s="246" t="s">
        <v>1599</v>
      </c>
      <c r="F20" s="3035">
        <v>7707434124</v>
      </c>
      <c r="G20" s="3036"/>
      <c r="H20" s="3037"/>
      <c r="I20" s="2444" t="s">
        <v>1598</v>
      </c>
      <c r="J20" s="823">
        <v>3</v>
      </c>
      <c r="M20" s="246" t="s">
        <v>1600</v>
      </c>
      <c r="N20" s="3035">
        <v>7708619049</v>
      </c>
      <c r="O20" s="3036"/>
      <c r="P20" s="3037"/>
      <c r="Q20" s="3014"/>
      <c r="R20" s="3015"/>
      <c r="S20" s="3016"/>
      <c r="U20" s="230"/>
      <c r="V20" s="230"/>
      <c r="W20" s="230"/>
      <c r="X20" s="230"/>
      <c r="Z20" s="1706">
        <v>24</v>
      </c>
    </row>
    <row r="21" spans="1:26" s="144" customFormat="1">
      <c r="B21" s="246" t="s">
        <v>1842</v>
      </c>
      <c r="F21" s="3069" t="s">
        <v>7041</v>
      </c>
      <c r="G21" s="3070"/>
      <c r="H21" s="3070"/>
      <c r="I21" s="3045"/>
      <c r="J21" s="3070"/>
      <c r="K21" s="3045"/>
      <c r="L21" s="3046"/>
      <c r="M21" s="246" t="s">
        <v>1838</v>
      </c>
      <c r="N21" s="3038">
        <v>7708619049</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7042</v>
      </c>
      <c r="G25" s="3071"/>
      <c r="H25" s="3071"/>
      <c r="I25" s="3045"/>
      <c r="J25" s="3071"/>
      <c r="K25" s="3072"/>
      <c r="M25" s="246" t="s">
        <v>425</v>
      </c>
      <c r="P25" s="1899" t="s">
        <v>2652</v>
      </c>
      <c r="Q25" s="3014"/>
      <c r="R25" s="3015"/>
      <c r="S25" s="3016"/>
      <c r="Z25" s="1706">
        <v>29</v>
      </c>
    </row>
    <row r="26" spans="1:26" s="144" customFormat="1">
      <c r="A26" s="375"/>
      <c r="B26" s="144" t="s">
        <v>575</v>
      </c>
      <c r="F26" s="3022" t="s">
        <v>723</v>
      </c>
      <c r="G26" s="3049"/>
      <c r="H26" s="3050"/>
      <c r="I26" s="257" t="s">
        <v>576</v>
      </c>
      <c r="J26" s="3047" t="str">
        <f>IF(F26="","",VLOOKUP(F26,'DCA Underwriting Assumptions'!$T$141:$U$770,2,FALSE))</f>
        <v>Clayton</v>
      </c>
      <c r="K26" s="3048"/>
      <c r="M26" s="246" t="s">
        <v>426</v>
      </c>
      <c r="P26" s="1956" t="s">
        <v>2652</v>
      </c>
      <c r="Q26" s="3014"/>
      <c r="R26" s="3015"/>
      <c r="S26" s="3016"/>
      <c r="U26" s="375"/>
      <c r="Z26" s="1706">
        <v>30</v>
      </c>
    </row>
    <row r="27" spans="1:26" s="144" customFormat="1" ht="13.5">
      <c r="A27" s="375"/>
      <c r="B27" s="144" t="s">
        <v>3906</v>
      </c>
      <c r="C27" s="251"/>
      <c r="D27" s="252"/>
      <c r="E27" s="252"/>
      <c r="F27" s="3022" t="s">
        <v>7043</v>
      </c>
      <c r="G27" s="3023"/>
      <c r="H27" s="3024"/>
      <c r="I27" s="248"/>
      <c r="J27" s="392" t="s">
        <v>6723</v>
      </c>
      <c r="K27" s="248"/>
      <c r="M27" s="246" t="s">
        <v>6666</v>
      </c>
      <c r="O27" s="3067">
        <v>11.57</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Atlanta-Sandy Springs-Marietta</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6653</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6652</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3932</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Helix</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2647</v>
      </c>
      <c r="B8" s="576"/>
      <c r="C8" s="4737" t="str">
        <f>'Part I-Project Identification'!$F$25</f>
        <v>Helix</v>
      </c>
      <c r="D8" s="4737"/>
      <c r="E8" s="1978" t="str">
        <f>'Part I-Project Identification'!$O$7</f>
        <v>2023-0</v>
      </c>
      <c r="F8" s="576" t="s">
        <v>2648</v>
      </c>
      <c r="G8" s="567"/>
      <c r="H8" s="4737" t="str">
        <f>CONCATENATE('Part I-Project Identification'!$F$26,", ",'Part I-Project Identification'!$J$26)</f>
        <v>Riverdale, Clayton</v>
      </c>
      <c r="I8" s="4737"/>
      <c r="J8" s="4737"/>
      <c r="K8" s="4737"/>
      <c r="L8" s="567"/>
      <c r="M8" s="545"/>
    </row>
    <row r="9" spans="1:14" ht="15.75">
      <c r="A9" s="576" t="s">
        <v>2650</v>
      </c>
      <c r="B9" s="576"/>
      <c r="C9" s="4737" t="s">
        <v>1646</v>
      </c>
      <c r="D9" s="4737"/>
      <c r="E9" s="567"/>
      <c r="F9" s="576" t="s">
        <v>2651</v>
      </c>
      <c r="G9" s="567"/>
      <c r="H9" s="4746"/>
      <c r="I9" s="4746"/>
      <c r="J9" s="4746"/>
      <c r="K9" s="4746"/>
      <c r="L9" s="4746"/>
      <c r="M9" s="545"/>
    </row>
    <row r="10" spans="1:14" ht="15.75">
      <c r="A10" s="576" t="s">
        <v>2653</v>
      </c>
      <c r="B10" s="567"/>
      <c r="C10" s="4747"/>
      <c r="D10" s="4747"/>
      <c r="E10" s="567"/>
      <c r="F10" s="576" t="s">
        <v>3131</v>
      </c>
      <c r="G10" s="567"/>
      <c r="H10" s="4742"/>
      <c r="I10" s="4742"/>
      <c r="J10" s="4742"/>
      <c r="K10" s="4742"/>
      <c r="L10" s="4742"/>
    </row>
    <row r="11" spans="1:14" ht="15.75">
      <c r="A11" s="576" t="s">
        <v>2654</v>
      </c>
      <c r="B11" s="567"/>
      <c r="C11" s="4741"/>
      <c r="D11" s="4741"/>
      <c r="E11" s="1992"/>
      <c r="F11" s="576" t="s">
        <v>606</v>
      </c>
      <c r="G11" s="567"/>
      <c r="H11" s="4742"/>
      <c r="I11" s="4742"/>
      <c r="J11" s="4742"/>
      <c r="K11" s="4742"/>
      <c r="L11" s="4742"/>
      <c r="M11" s="4743"/>
      <c r="N11" s="4744"/>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90</v>
      </c>
      <c r="D13" s="26"/>
      <c r="E13" s="1980">
        <f>'Part V-Revenues &amp; Expenses'!$P$63</f>
        <v>80</v>
      </c>
      <c r="F13" s="576" t="s">
        <v>3451</v>
      </c>
      <c r="G13" s="567"/>
      <c r="H13" s="1990"/>
      <c r="I13" s="1982"/>
      <c r="J13" s="1982"/>
      <c r="K13" s="1981">
        <f>'Part V-Revenues &amp; Expenses'!$K$175</f>
        <v>103140</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5" t="s">
        <v>3099</v>
      </c>
      <c r="I14" s="4745"/>
      <c r="J14" s="4745"/>
      <c r="K14" s="4745" t="s">
        <v>3099</v>
      </c>
      <c r="L14" s="4745"/>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25403016</v>
      </c>
      <c r="D18" s="1986">
        <f>IF(C18=0,"",$C$29/C18)</f>
        <v>0.28633607914902703</v>
      </c>
      <c r="E18" s="567" t="s">
        <v>2953</v>
      </c>
      <c r="F18" s="576" t="s">
        <v>6749</v>
      </c>
      <c r="G18" s="567"/>
      <c r="H18" s="4736">
        <f>'Part III-A-Uses of Funds'!$C$49</f>
        <v>17332563</v>
      </c>
      <c r="I18" s="4736"/>
      <c r="J18" s="1987">
        <f>IF(H18=0,"",$C$29/H18)</f>
        <v>0.41966095839374706</v>
      </c>
      <c r="K18" s="4737" t="s">
        <v>2955</v>
      </c>
      <c r="L18" s="4737"/>
      <c r="M18" s="507"/>
    </row>
    <row r="19" spans="1:13" ht="15.75">
      <c r="A19" s="576" t="s">
        <v>2660</v>
      </c>
      <c r="B19" s="567"/>
      <c r="C19" s="1988">
        <f>C18/C13</f>
        <v>282255.73333333334</v>
      </c>
      <c r="D19" s="567"/>
      <c r="E19" s="567"/>
      <c r="F19" s="576" t="s">
        <v>2660</v>
      </c>
      <c r="G19" s="567"/>
      <c r="H19" s="4738">
        <f>H18/C13</f>
        <v>192584.03333333333</v>
      </c>
      <c r="I19" s="4738"/>
      <c r="J19" s="567"/>
      <c r="K19" s="567"/>
      <c r="L19" s="567"/>
      <c r="M19" s="507"/>
    </row>
    <row r="20" spans="1:13" ht="15.75">
      <c r="A20" s="576" t="s">
        <v>2661</v>
      </c>
      <c r="B20" s="567"/>
      <c r="C20" s="1978">
        <f>C18/K13</f>
        <v>246.29645142524723</v>
      </c>
      <c r="D20" s="1989"/>
      <c r="E20" s="1989"/>
      <c r="F20" s="576" t="s">
        <v>2661</v>
      </c>
      <c r="G20" s="567"/>
      <c r="H20" s="4737">
        <f>H18/K13</f>
        <v>168.04889470622456</v>
      </c>
      <c r="I20" s="473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Bellwether Enterprise</v>
      </c>
      <c r="C25" s="553">
        <f>'Part II-Sources of Funds'!I40</f>
        <v>7273800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7273800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18006410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7273800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0.28633607914902703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0.41966095839374706</v>
      </c>
      <c r="D40" s="507"/>
      <c r="E40" s="507"/>
      <c r="F40" s="510"/>
      <c r="G40" s="510" t="s">
        <v>2681</v>
      </c>
      <c r="H40" s="507"/>
      <c r="I40" s="507"/>
      <c r="K40" s="555">
        <f>C30/C18</f>
        <v>0.70882961298768621</v>
      </c>
      <c r="L40" s="507"/>
      <c r="M40" s="507"/>
    </row>
    <row r="46" spans="1:13" ht="15.75">
      <c r="A46" s="550" t="s">
        <v>2682</v>
      </c>
      <c r="B46" s="540"/>
      <c r="C46" s="540"/>
      <c r="D46" s="540"/>
      <c r="E46" s="540"/>
      <c r="F46" s="540"/>
      <c r="G46" s="540"/>
      <c r="H46" s="540"/>
      <c r="I46" s="540"/>
      <c r="J46" s="540"/>
      <c r="K46" s="540"/>
      <c r="L46" s="540"/>
      <c r="M46" s="507"/>
    </row>
    <row r="47" spans="1:13" ht="15.75">
      <c r="A47" s="550" t="str">
        <f>C8</f>
        <v>Helix</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1270116</v>
      </c>
      <c r="D52" s="568"/>
      <c r="E52" s="568">
        <f>$C$52</f>
        <v>1270116</v>
      </c>
      <c r="F52" s="568"/>
      <c r="G52" s="568">
        <f>$C$52</f>
        <v>1270116</v>
      </c>
      <c r="H52" s="568"/>
      <c r="I52" s="568">
        <f>$C$52</f>
        <v>1270116</v>
      </c>
      <c r="J52" s="568"/>
      <c r="K52" s="568">
        <f>$C$52</f>
        <v>1270116</v>
      </c>
      <c r="L52" s="569"/>
      <c r="M52"/>
      <c r="N52"/>
    </row>
    <row r="53" spans="1:14" s="507" customFormat="1" ht="18.75" customHeight="1">
      <c r="B53" s="567" t="s">
        <v>2689</v>
      </c>
      <c r="C53" s="568">
        <f>'Part VI-Pro Forma'!B16</f>
        <v>25402.32</v>
      </c>
      <c r="D53" s="568"/>
      <c r="E53" s="568">
        <f>$C$53</f>
        <v>25402.32</v>
      </c>
      <c r="F53" s="568"/>
      <c r="G53" s="568">
        <f>$C$53</f>
        <v>25402.32</v>
      </c>
      <c r="H53" s="568"/>
      <c r="I53" s="568">
        <f>$C$53</f>
        <v>25402.32</v>
      </c>
      <c r="J53" s="568"/>
      <c r="K53" s="568">
        <f>$C$53</f>
        <v>25402.32</v>
      </c>
      <c r="L53" s="569"/>
      <c r="M53"/>
      <c r="N53"/>
    </row>
    <row r="54" spans="1:14" s="507" customFormat="1" ht="18.75" customHeight="1">
      <c r="B54" s="567" t="s">
        <v>2687</v>
      </c>
      <c r="C54" s="568">
        <f>'Part VI-Pro Forma'!B17</f>
        <v>-90686.282400000011</v>
      </c>
      <c r="D54" s="568"/>
      <c r="E54" s="568">
        <f>-($C$52+E53)*F50</f>
        <v>-129551.83200000001</v>
      </c>
      <c r="F54" s="570"/>
      <c r="G54" s="568">
        <f>-($C$52+G53)*0.07</f>
        <v>-90686.282400000011</v>
      </c>
      <c r="H54" s="568"/>
      <c r="I54" s="568">
        <f>-($C$52+I53)*0.07</f>
        <v>-90686.282400000011</v>
      </c>
      <c r="J54" s="568"/>
      <c r="K54" s="568">
        <f>-($C$52+K53)*L54</f>
        <v>-129551.83200000001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1204832.0376000002</v>
      </c>
      <c r="D56" s="568"/>
      <c r="E56" s="574">
        <f>SUM(E52:E55)</f>
        <v>1165966.4880000001</v>
      </c>
      <c r="F56" s="568"/>
      <c r="G56" s="574">
        <f>SUM(G52:G55)</f>
        <v>1204832.0376000002</v>
      </c>
      <c r="H56" s="568"/>
      <c r="I56" s="574">
        <f>SUM(I52:I55)</f>
        <v>1204832.0376000002</v>
      </c>
      <c r="J56" s="568"/>
      <c r="K56" s="574">
        <f>SUM(K52:K55)</f>
        <v>1165966.4880000001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20000</v>
      </c>
      <c r="D58" s="568"/>
      <c r="E58" s="568">
        <f>$C$58</f>
        <v>20000</v>
      </c>
      <c r="F58" s="568"/>
      <c r="G58" s="568">
        <f>$C$58</f>
        <v>20000</v>
      </c>
      <c r="H58" s="568"/>
      <c r="I58" s="568">
        <f>$C$58</f>
        <v>20000</v>
      </c>
      <c r="J58" s="568"/>
      <c r="K58" s="568">
        <f>$C$58</f>
        <v>20000</v>
      </c>
      <c r="L58" s="569"/>
      <c r="M58"/>
      <c r="N58"/>
    </row>
    <row r="59" spans="1:14" s="507" customFormat="1" ht="18.75" customHeight="1">
      <c r="B59" s="567" t="s">
        <v>2692</v>
      </c>
      <c r="C59" s="568">
        <f>+'Part V-Revenues &amp; Expenses'!F244</f>
        <v>15000</v>
      </c>
      <c r="D59" s="568"/>
      <c r="E59" s="568">
        <f>$C$59</f>
        <v>15000</v>
      </c>
      <c r="F59" s="568"/>
      <c r="G59" s="568">
        <f>$C$59</f>
        <v>15000</v>
      </c>
      <c r="H59" s="568"/>
      <c r="I59" s="568">
        <f>$C$59</f>
        <v>15000</v>
      </c>
      <c r="J59" s="568"/>
      <c r="K59" s="568">
        <f>$C$59*(1+$L$59)</f>
        <v>15600</v>
      </c>
      <c r="L59" s="575">
        <v>0.04</v>
      </c>
      <c r="M59"/>
      <c r="N59"/>
    </row>
    <row r="60" spans="1:14" s="507" customFormat="1" ht="18.75" customHeight="1">
      <c r="B60" s="567" t="s">
        <v>1297</v>
      </c>
      <c r="C60" s="568">
        <f>+'Part V-Revenues &amp; Expenses'!L237</f>
        <v>78500</v>
      </c>
      <c r="D60" s="568"/>
      <c r="E60" s="568">
        <f>$C$60</f>
        <v>78500</v>
      </c>
      <c r="F60" s="568"/>
      <c r="G60" s="568">
        <f>$C$60</f>
        <v>78500</v>
      </c>
      <c r="H60" s="568"/>
      <c r="I60" s="568">
        <f>$C$60*(1+$J$50)</f>
        <v>80855</v>
      </c>
      <c r="J60" s="570"/>
      <c r="K60" s="568">
        <f>$C$60*(1+$J$50)</f>
        <v>80855</v>
      </c>
      <c r="L60" s="571">
        <v>0.03</v>
      </c>
      <c r="M60"/>
      <c r="N60"/>
    </row>
    <row r="61" spans="1:14" s="507" customFormat="1" ht="18.75" customHeight="1">
      <c r="B61" s="567" t="s">
        <v>1298</v>
      </c>
      <c r="C61" s="568">
        <f>+'Part V-Revenues &amp; Expenses'!L244</f>
        <v>85000</v>
      </c>
      <c r="D61" s="568"/>
      <c r="E61" s="568">
        <f>$C$61</f>
        <v>85000</v>
      </c>
      <c r="F61" s="568"/>
      <c r="G61" s="568">
        <f>$C$61*(1+H50)</f>
        <v>89250</v>
      </c>
      <c r="H61" s="570"/>
      <c r="I61" s="568">
        <f>$C$61</f>
        <v>85000</v>
      </c>
      <c r="J61" s="568"/>
      <c r="K61" s="568">
        <f>$C$61*(1+$L$61)</f>
        <v>89250</v>
      </c>
      <c r="L61" s="571">
        <v>0.05</v>
      </c>
      <c r="M61"/>
      <c r="N61"/>
    </row>
    <row r="62" spans="1:14" s="507" customFormat="1" ht="18.75" customHeight="1">
      <c r="B62" s="573" t="s">
        <v>2693</v>
      </c>
      <c r="C62" s="574">
        <f>SUM(C58:C61)</f>
        <v>198500</v>
      </c>
      <c r="D62" s="568"/>
      <c r="E62" s="574">
        <f>SUM(E58:E61)</f>
        <v>198500</v>
      </c>
      <c r="F62" s="568"/>
      <c r="G62" s="574">
        <f>SUM(G58:G61)</f>
        <v>202750</v>
      </c>
      <c r="H62" s="568"/>
      <c r="I62" s="574">
        <f>SUM(I58:I61)</f>
        <v>200855</v>
      </c>
      <c r="J62" s="568"/>
      <c r="K62" s="574">
        <f>SUM(K58:K61)</f>
        <v>205705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1006332.0376000002</v>
      </c>
      <c r="D64" s="577"/>
      <c r="E64" s="577">
        <f>E56-E62</f>
        <v>967466.48800000013</v>
      </c>
      <c r="F64" s="577"/>
      <c r="G64" s="577">
        <f>G56-G62</f>
        <v>1002082.0376000002</v>
      </c>
      <c r="H64" s="577"/>
      <c r="I64" s="577">
        <f>I56-I62</f>
        <v>1003977.0376000002</v>
      </c>
      <c r="J64" s="577"/>
      <c r="K64" s="577">
        <f>K56-K62</f>
        <v>960261.48800000013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1006332.0376000002</v>
      </c>
      <c r="D70" s="577"/>
      <c r="E70" s="580">
        <f>E64-E66-E68</f>
        <v>967466.48800000013</v>
      </c>
      <c r="F70" s="577"/>
      <c r="G70" s="580">
        <f>G64-G66-G68</f>
        <v>1002082.0376000002</v>
      </c>
      <c r="H70" s="577"/>
      <c r="I70" s="580">
        <f>I64-I66-I68</f>
        <v>1003977.0376000002</v>
      </c>
      <c r="J70" s="577"/>
      <c r="K70" s="580">
        <f>K64-K66-K68</f>
        <v>960261.48800000013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1.9638305687693265</v>
      </c>
      <c r="D72" s="581"/>
      <c r="E72" s="1004">
        <f>-E70/E75</f>
        <v>1.8879854684200137</v>
      </c>
      <c r="F72" s="581"/>
      <c r="G72" s="1004">
        <f>-G70/G75</f>
        <v>1.9555368052743527</v>
      </c>
      <c r="H72" s="581"/>
      <c r="I72" s="1004">
        <f>-I70/I75</f>
        <v>1.9592348480562292</v>
      </c>
      <c r="J72" s="581"/>
      <c r="K72" s="1004">
        <f>-K70/K75</f>
        <v>1.8739250999538284</v>
      </c>
      <c r="L72" s="4"/>
      <c r="M72" s="10"/>
      <c r="N72" s="10"/>
    </row>
    <row r="73" spans="1:14" s="507" customFormat="1" ht="18.75" customHeight="1">
      <c r="A73"/>
      <c r="B73" s="567" t="s">
        <v>2699</v>
      </c>
      <c r="C73" s="1005">
        <f>C76/C62</f>
        <v>2.4881552120895054</v>
      </c>
      <c r="D73" s="582"/>
      <c r="E73" s="1005">
        <f>E76/E62</f>
        <v>2.2923589924421504</v>
      </c>
      <c r="F73" s="582"/>
      <c r="G73" s="1005">
        <f>G76/G62</f>
        <v>2.415037285325607</v>
      </c>
      <c r="H73" s="582"/>
      <c r="I73" s="1005">
        <f>I76/I62</f>
        <v>2.4472570242202925</v>
      </c>
      <c r="J73" s="582"/>
      <c r="K73" s="1005">
        <f>K76/K62</f>
        <v>2.1770411997752452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-512433.2280002333</v>
      </c>
      <c r="D75" s="568"/>
      <c r="E75" s="568">
        <f>$C$75</f>
        <v>-512433.2280002333</v>
      </c>
      <c r="F75" s="568"/>
      <c r="G75" s="568">
        <f>$C$75</f>
        <v>-512433.2280002333</v>
      </c>
      <c r="H75" s="568"/>
      <c r="I75" s="568">
        <f>$C$75</f>
        <v>-512433.2280002333</v>
      </c>
      <c r="J75" s="568"/>
      <c r="K75" s="568">
        <f>$C$75</f>
        <v>-512433.2280002333</v>
      </c>
      <c r="L75" s="26"/>
      <c r="M75"/>
      <c r="N75"/>
    </row>
    <row r="76" spans="1:14" s="507" customFormat="1" ht="18.75" customHeight="1">
      <c r="A76"/>
      <c r="B76" s="567" t="s">
        <v>1096</v>
      </c>
      <c r="C76" s="568">
        <f>C70+C75</f>
        <v>493898.80959976686</v>
      </c>
      <c r="D76" s="568"/>
      <c r="E76" s="568">
        <f>E70+E75</f>
        <v>455033.25999976683</v>
      </c>
      <c r="F76" s="568"/>
      <c r="G76" s="568">
        <f>G70+G75</f>
        <v>489648.80959976686</v>
      </c>
      <c r="H76" s="568"/>
      <c r="I76" s="568">
        <f>I70+I75</f>
        <v>491543.80959976686</v>
      </c>
      <c r="J76" s="568"/>
      <c r="K76" s="568">
        <f>K70+K75</f>
        <v>447828.25999976683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Helix</v>
      </c>
    </row>
    <row r="13" spans="1:10" ht="15">
      <c r="A13" s="517"/>
      <c r="D13" s="516" t="s">
        <v>2604</v>
      </c>
      <c r="F13" s="1024" t="str">
        <f>'Sensitivity Analysis'!E8</f>
        <v>2023-0</v>
      </c>
    </row>
    <row r="14" spans="1:10" ht="15">
      <c r="A14" s="517"/>
      <c r="D14" s="516" t="s">
        <v>2605</v>
      </c>
      <c r="F14" s="1024" t="str">
        <f>'Sensitivity Analysis'!H8</f>
        <v>Riverdale, Clayton</v>
      </c>
    </row>
    <row r="15" spans="1:10" ht="15">
      <c r="A15" s="517"/>
      <c r="D15" s="516" t="s">
        <v>2946</v>
      </c>
      <c r="F15" s="4748">
        <f>'Sensitivity Analysis'!$C$25</f>
        <v>7273800</v>
      </c>
      <c r="G15" s="4748"/>
      <c r="H15" s="4748"/>
    </row>
    <row r="16" spans="1:10" ht="15">
      <c r="A16" s="517"/>
      <c r="D16" s="519" t="s">
        <v>2606</v>
      </c>
      <c r="F16" s="520">
        <f>'Sensitivity Analysis'!C13</f>
        <v>90</v>
      </c>
      <c r="G16" s="521" t="s">
        <v>2947</v>
      </c>
      <c r="H16" s="972">
        <f>'Sensitivity Analysis'!E13</f>
        <v>80</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54" t="s">
        <v>3098</v>
      </c>
      <c r="B22" s="4754"/>
      <c r="C22" s="4754"/>
      <c r="D22" s="4754"/>
      <c r="E22" s="4754"/>
      <c r="F22" s="4754"/>
      <c r="G22" s="4754"/>
      <c r="H22" s="4754"/>
      <c r="I22" s="4754"/>
      <c r="J22" s="4754"/>
      <c r="K22" s="4756" t="s">
        <v>3897</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ht="15">
      <c r="A26" s="522" t="s">
        <v>6153</v>
      </c>
    </row>
    <row r="27" spans="1:18" ht="14.25" customHeight="1">
      <c r="A27" s="4762" t="s">
        <v>6155</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6156</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ht="15">
      <c r="A46" s="522" t="s">
        <v>2607</v>
      </c>
    </row>
    <row r="47" spans="1:10" ht="135" customHeight="1">
      <c r="A47" s="4731" t="s">
        <v>6157</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ht="15">
      <c r="A49" s="522" t="s">
        <v>2608</v>
      </c>
    </row>
    <row r="50" spans="1:12" ht="33" customHeight="1">
      <c r="A50" s="4727" t="s">
        <v>3452</v>
      </c>
      <c r="B50" s="4729"/>
      <c r="C50" s="4729"/>
      <c r="D50" s="4729"/>
      <c r="E50" s="4729"/>
      <c r="F50" s="4729"/>
      <c r="G50" s="4729"/>
      <c r="H50" s="4729"/>
      <c r="I50" s="4729"/>
      <c r="J50" s="4727"/>
    </row>
    <row r="51" spans="1:12" ht="3" customHeight="1"/>
    <row r="52" spans="1:12" ht="72.75" customHeight="1">
      <c r="A52" s="4727" t="s">
        <v>3453</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3454</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3455</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2956</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3456</v>
      </c>
      <c r="B60" s="4727"/>
      <c r="C60" s="4727"/>
      <c r="D60" s="4727"/>
      <c r="E60" s="4727"/>
      <c r="F60" s="4727"/>
      <c r="G60" s="4727"/>
      <c r="H60" s="4727"/>
      <c r="I60" s="4727"/>
      <c r="J60" s="4727"/>
    </row>
    <row r="61" spans="1:12" ht="3" customHeight="1"/>
    <row r="62" spans="1:12" ht="73.5" customHeight="1">
      <c r="A62" s="4727" t="s">
        <v>3457</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4" t="s">
        <v>2610</v>
      </c>
      <c r="B65" s="4754"/>
      <c r="C65" s="4754"/>
      <c r="D65" s="4754"/>
      <c r="E65" s="4754"/>
      <c r="F65" s="4754"/>
      <c r="G65" s="4754"/>
      <c r="H65" s="4754"/>
      <c r="I65" s="4754"/>
      <c r="J65" s="4754"/>
      <c r="L65" s="524">
        <f>'Closing term sheet'!C135</f>
        <v>938597</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10901410 via the syndication of the 2021 Federal LIHTC allocation of 1225000 per annum. will make a capital contribution totaling 7105000 via the syndication of the 2021 State LIHTC allocation of 1225000 per annum.</v>
      </c>
      <c r="B67" s="4727"/>
      <c r="C67" s="4727"/>
      <c r="D67" s="4727"/>
      <c r="E67" s="4727"/>
      <c r="F67" s="4727"/>
      <c r="G67" s="4727"/>
      <c r="H67" s="4727"/>
      <c r="I67" s="4727"/>
      <c r="J67" s="529"/>
      <c r="L67" s="530">
        <f>'Part II-Sources of Funds'!I51</f>
        <v>10901410</v>
      </c>
      <c r="M67" s="531">
        <f>'Part III-A-Uses of Funds'!$J$191</f>
        <v>1225000</v>
      </c>
      <c r="N67" s="532">
        <f>'Part III-A-Uses of Funds'!N182</f>
        <v>0.89</v>
      </c>
      <c r="O67" s="530">
        <f>'Part II-Sources of Funds'!I52</f>
        <v>7105000</v>
      </c>
      <c r="P67" s="531">
        <f>M67</f>
        <v>1225000</v>
      </c>
      <c r="Q67" s="532">
        <f>'Part III-A-Uses of Funds'!Q182</f>
        <v>0.57999999999999996</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1.47 (0.89 Federal tax credit and 0.58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2611</v>
      </c>
    </row>
    <row r="70" spans="1:17" ht="177" customHeight="1">
      <c r="A70" s="4727" t="s">
        <v>6158</v>
      </c>
      <c r="B70" s="4727"/>
      <c r="C70" s="4727"/>
      <c r="D70" s="4727"/>
      <c r="E70" s="4727"/>
      <c r="F70" s="4727"/>
      <c r="G70" s="4727"/>
      <c r="H70" s="4727"/>
      <c r="I70" s="4727"/>
      <c r="J70" s="4727"/>
      <c r="L70" s="534">
        <f>'Part VI-Pro Forma'!K72</f>
        <v>4980362.7438027291</v>
      </c>
      <c r="M70" s="4755" t="s">
        <v>3097</v>
      </c>
      <c r="N70" s="4756"/>
    </row>
    <row r="71" spans="1:17" ht="6" customHeight="1">
      <c r="A71" s="522"/>
    </row>
    <row r="72" spans="1:17" ht="15">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ht="15">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ht="15">
      <c r="A79" s="522" t="s">
        <v>2617</v>
      </c>
    </row>
    <row r="80" spans="1:17" ht="66" customHeight="1">
      <c r="A80" s="4727" t="s">
        <v>2618</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2619</v>
      </c>
      <c r="B82" s="521"/>
      <c r="C82" s="521"/>
      <c r="D82" s="1024"/>
      <c r="E82" s="521"/>
      <c r="F82" s="521"/>
      <c r="G82" s="521"/>
      <c r="H82" s="521"/>
      <c r="I82" s="521"/>
      <c r="J82" s="535"/>
    </row>
    <row r="83" spans="1:15" s="1251" customFormat="1" ht="63" customHeight="1">
      <c r="A83" s="4727" t="s">
        <v>3659</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2620</v>
      </c>
      <c r="B85" s="4759"/>
      <c r="C85" s="4759"/>
      <c r="D85" s="521"/>
      <c r="E85" s="521"/>
      <c r="F85" s="521"/>
      <c r="G85" s="521"/>
      <c r="H85" s="521"/>
      <c r="I85" s="521"/>
      <c r="J85" s="535"/>
    </row>
    <row r="86" spans="1:15" ht="41.25" customHeight="1">
      <c r="A86" s="4727" t="s">
        <v>6159</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ht="15">
      <c r="A88" s="522" t="s">
        <v>2621</v>
      </c>
    </row>
    <row r="89" spans="1:15" ht="124.15" customHeight="1">
      <c r="A89" s="4727" t="s">
        <v>2622</v>
      </c>
      <c r="B89" s="4727"/>
      <c r="C89" s="4727"/>
      <c r="D89" s="4727"/>
      <c r="E89" s="4727"/>
      <c r="F89" s="4727"/>
      <c r="G89" s="4727"/>
      <c r="H89" s="4727"/>
      <c r="I89" s="4727"/>
      <c r="J89" s="4727"/>
      <c r="L89" s="4756" t="s">
        <v>2623</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ht="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9"/>
      <c r="F96" s="1249"/>
      <c r="G96" s="1249"/>
      <c r="H96" s="1249"/>
      <c r="I96" s="1249"/>
      <c r="J96" s="1249"/>
    </row>
    <row r="97" spans="1:14" ht="109.5" customHeight="1">
      <c r="A97" s="4751" t="s">
        <v>2631</v>
      </c>
      <c r="B97" s="4752"/>
      <c r="C97" s="4752"/>
      <c r="D97" s="4752"/>
      <c r="E97" s="4752"/>
      <c r="F97" s="4752"/>
      <c r="G97" s="4752"/>
      <c r="H97" s="4752"/>
      <c r="I97" s="4752"/>
      <c r="J97" s="4752"/>
    </row>
    <row r="98" spans="1:14" ht="11.25" customHeight="1">
      <c r="A98" s="522"/>
    </row>
    <row r="99" spans="1:14" ht="15">
      <c r="A99" s="522" t="s">
        <v>2632</v>
      </c>
    </row>
    <row r="100" spans="1:14" ht="110.65" customHeight="1">
      <c r="A100" s="4754" t="s">
        <v>2633</v>
      </c>
      <c r="B100" s="4754"/>
      <c r="C100" s="4754"/>
      <c r="D100" s="4754"/>
      <c r="E100" s="4754"/>
      <c r="F100" s="4754"/>
      <c r="G100" s="4754"/>
      <c r="H100" s="4754"/>
      <c r="I100" s="4754"/>
      <c r="J100" s="4754"/>
      <c r="L100" s="975">
        <f>'Part VI-Pro Forma'!K72</f>
        <v>4980362.7438027291</v>
      </c>
      <c r="M100" s="4757" t="s">
        <v>2634</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2635</v>
      </c>
      <c r="B104" s="4729"/>
      <c r="C104" s="4729"/>
      <c r="D104" s="1249"/>
      <c r="E104" s="1249"/>
      <c r="F104" s="1249"/>
      <c r="G104" s="1249"/>
      <c r="H104" s="1249"/>
      <c r="I104" s="1249"/>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ht="15">
      <c r="A107" s="522" t="s">
        <v>2637</v>
      </c>
    </row>
    <row r="108" spans="1:14" ht="43.5" customHeight="1">
      <c r="A108" s="4727" t="s">
        <v>2638</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49" t="s">
        <v>6064</v>
      </c>
      <c r="B120" s="4749"/>
      <c r="C120" s="4749"/>
      <c r="D120" s="4749"/>
      <c r="E120" s="4750"/>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Helix</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Helix</v>
      </c>
      <c r="D8" s="4764"/>
      <c r="E8" s="1020" t="str">
        <f>'Part I-Project Identification'!O7</f>
        <v>2023-0</v>
      </c>
      <c r="F8" s="510" t="s">
        <v>2648</v>
      </c>
      <c r="G8" s="507"/>
      <c r="H8" s="4764" t="str">
        <f>CONCATENATE('Part I-Project Identification'!F26,", ",'Part I-Project Identification'!J26)</f>
        <v>Riverdale, Clayton</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3131</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90</v>
      </c>
      <c r="E13" s="970">
        <f>'Part V-Revenues &amp; Expenses'!$P$63</f>
        <v>80</v>
      </c>
      <c r="F13" s="510" t="s">
        <v>3451</v>
      </c>
      <c r="G13" s="507"/>
      <c r="H13" s="1021" t="e">
        <f>'Part I-Project Identification'!#REF!</f>
        <v>#REF!</v>
      </c>
      <c r="I13" s="971"/>
      <c r="J13" s="971"/>
      <c r="K13" s="1021">
        <f>'Part V-Revenues &amp; Expenses'!K175</f>
        <v>103140</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5" t="s">
        <v>3099</v>
      </c>
      <c r="I14" s="4745"/>
      <c r="J14" s="4745"/>
      <c r="K14" s="4745" t="s">
        <v>3099</v>
      </c>
      <c r="L14" s="4745"/>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25403016</v>
      </c>
      <c r="D18" s="1003">
        <f>IF(C18=0,"",$C$29/C18)</f>
        <v>0.28633607914902703</v>
      </c>
      <c r="E18" s="507" t="s">
        <v>2953</v>
      </c>
      <c r="F18" s="510" t="s">
        <v>2954</v>
      </c>
      <c r="G18" s="507"/>
      <c r="H18" s="4763">
        <f>'Part III-A-Uses of Funds'!C49</f>
        <v>17332563</v>
      </c>
      <c r="I18" s="4763"/>
      <c r="J18" s="1002">
        <f>IF(H18=0,"",$C$29/H18)</f>
        <v>0.41966095839374706</v>
      </c>
      <c r="K18" s="4764" t="s">
        <v>2955</v>
      </c>
      <c r="L18" s="4764"/>
      <c r="M18" s="507"/>
    </row>
    <row r="19" spans="1:13" ht="15.75">
      <c r="A19" s="510" t="s">
        <v>2660</v>
      </c>
      <c r="B19" s="507"/>
      <c r="C19" s="1022">
        <f>C18/C13</f>
        <v>282255.73333333334</v>
      </c>
      <c r="D19" s="507"/>
      <c r="E19" s="507"/>
      <c r="F19" s="510" t="s">
        <v>2660</v>
      </c>
      <c r="G19" s="507"/>
      <c r="H19" s="4765">
        <f>H18/C13</f>
        <v>192584.03333333333</v>
      </c>
      <c r="I19" s="4765"/>
      <c r="J19" s="507"/>
      <c r="K19" s="507"/>
      <c r="L19" s="507"/>
      <c r="M19" s="507"/>
    </row>
    <row r="20" spans="1:13" ht="15.75">
      <c r="A20" s="510" t="s">
        <v>2661</v>
      </c>
      <c r="B20" s="507"/>
      <c r="C20" s="1020">
        <f>C18/K13</f>
        <v>246.29645142524723</v>
      </c>
      <c r="D20" s="548"/>
      <c r="E20" s="548"/>
      <c r="F20" s="510" t="s">
        <v>2661</v>
      </c>
      <c r="G20" s="507"/>
      <c r="H20" s="4764">
        <f>H18/K13</f>
        <v>168.04889470622456</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Bellwether Enterprise</v>
      </c>
      <c r="C25" s="553">
        <f>'Part II-Sources of Funds'!I40</f>
        <v>7273800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7273800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18006410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7273800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0.28633607914902703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0.41966095839374706</v>
      </c>
      <c r="D40" s="507"/>
      <c r="E40" s="507"/>
      <c r="F40" s="510"/>
      <c r="G40" s="510" t="s">
        <v>2681</v>
      </c>
      <c r="H40" s="507"/>
      <c r="I40" s="507"/>
      <c r="K40" s="555">
        <f>C30/C18</f>
        <v>0.70882961298768621</v>
      </c>
      <c r="L40" s="507"/>
      <c r="M40" s="507"/>
    </row>
    <row r="46" spans="1:13" ht="15.75">
      <c r="A46" s="550" t="s">
        <v>2682</v>
      </c>
      <c r="B46" s="540"/>
      <c r="C46" s="540"/>
      <c r="D46" s="540"/>
      <c r="E46" s="540"/>
      <c r="F46" s="540"/>
      <c r="G46" s="540"/>
      <c r="H46" s="540"/>
      <c r="I46" s="540"/>
      <c r="J46" s="540"/>
      <c r="K46" s="540"/>
      <c r="L46" s="540"/>
      <c r="M46" s="507"/>
    </row>
    <row r="47" spans="1:13" ht="15.75">
      <c r="A47" s="550" t="str">
        <f>C8</f>
        <v>Helix</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1270116</v>
      </c>
      <c r="D52" s="568"/>
      <c r="E52" s="568">
        <f>$C$52</f>
        <v>1270116</v>
      </c>
      <c r="F52" s="568"/>
      <c r="G52" s="568">
        <f>$C$52</f>
        <v>1270116</v>
      </c>
      <c r="H52" s="568"/>
      <c r="I52" s="568">
        <f>$C$52</f>
        <v>1270116</v>
      </c>
      <c r="J52" s="568"/>
      <c r="K52" s="568">
        <f>$C$52</f>
        <v>1270116</v>
      </c>
      <c r="L52" s="569"/>
      <c r="M52"/>
      <c r="N52"/>
    </row>
    <row r="53" spans="1:14" s="507" customFormat="1" ht="18.75" customHeight="1">
      <c r="B53" s="567" t="s">
        <v>2689</v>
      </c>
      <c r="C53" s="568">
        <f>'Part VI-Pro Forma'!B16</f>
        <v>25402.32</v>
      </c>
      <c r="D53" s="568"/>
      <c r="E53" s="568">
        <f>$C$53</f>
        <v>25402.32</v>
      </c>
      <c r="F53" s="568"/>
      <c r="G53" s="568">
        <f>$C$53</f>
        <v>25402.32</v>
      </c>
      <c r="H53" s="568"/>
      <c r="I53" s="568">
        <f>$C$53</f>
        <v>25402.32</v>
      </c>
      <c r="J53" s="568"/>
      <c r="K53" s="568">
        <f>$C$53</f>
        <v>25402.32</v>
      </c>
      <c r="L53" s="569"/>
      <c r="M53"/>
      <c r="N53"/>
    </row>
    <row r="54" spans="1:14" s="507" customFormat="1" ht="18.75" customHeight="1">
      <c r="B54" s="567" t="s">
        <v>2687</v>
      </c>
      <c r="C54" s="568">
        <f>'Part VI-Pro Forma'!B17</f>
        <v>-90686.282400000011</v>
      </c>
      <c r="D54" s="568"/>
      <c r="E54" s="568">
        <f>-($C$52+E53)*F50</f>
        <v>-129551.83200000001</v>
      </c>
      <c r="F54" s="570"/>
      <c r="G54" s="568">
        <f>-($C$52+G53)*0.07</f>
        <v>-90686.282400000011</v>
      </c>
      <c r="H54" s="568"/>
      <c r="I54" s="568">
        <f>-($C$52+I53)*0.07</f>
        <v>-90686.282400000011</v>
      </c>
      <c r="J54" s="568"/>
      <c r="K54" s="568">
        <f>-($C$52+K53)*L54</f>
        <v>-129551.83200000001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1204832.0376000002</v>
      </c>
      <c r="D56" s="568"/>
      <c r="E56" s="574">
        <f>SUM(E52:E55)</f>
        <v>1165966.4880000001</v>
      </c>
      <c r="F56" s="568"/>
      <c r="G56" s="574">
        <f>SUM(G52:G55)</f>
        <v>1204832.0376000002</v>
      </c>
      <c r="H56" s="568"/>
      <c r="I56" s="574">
        <f>SUM(I52:I55)</f>
        <v>1204832.0376000002</v>
      </c>
      <c r="J56" s="568"/>
      <c r="K56" s="574">
        <f>SUM(K52:K55)</f>
        <v>1165966.4880000001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169400</v>
      </c>
      <c r="D58" s="568"/>
      <c r="E58" s="568">
        <f>$C$58</f>
        <v>169400</v>
      </c>
      <c r="F58" s="568"/>
      <c r="G58" s="568">
        <f>$C$58</f>
        <v>169400</v>
      </c>
      <c r="H58" s="568"/>
      <c r="I58" s="568">
        <f>$C$58</f>
        <v>169400</v>
      </c>
      <c r="J58" s="568"/>
      <c r="K58" s="568">
        <f>$C$58</f>
        <v>169400</v>
      </c>
      <c r="L58" s="569"/>
      <c r="M58"/>
      <c r="N58"/>
    </row>
    <row r="59" spans="1:14" s="507" customFormat="1" ht="18.75" customHeight="1">
      <c r="B59" s="567" t="s">
        <v>2692</v>
      </c>
      <c r="C59" s="568">
        <f>+'Part V-Revenues &amp; Expenses'!F247</f>
        <v>54500</v>
      </c>
      <c r="D59" s="568"/>
      <c r="E59" s="568">
        <f>$C$59</f>
        <v>54500</v>
      </c>
      <c r="F59" s="568"/>
      <c r="G59" s="568">
        <f>$C$59</f>
        <v>54500</v>
      </c>
      <c r="H59" s="568"/>
      <c r="I59" s="568">
        <f>$C$59</f>
        <v>54500</v>
      </c>
      <c r="J59" s="568"/>
      <c r="K59" s="568">
        <f>$C$59*(1+$L$59)</f>
        <v>56680</v>
      </c>
      <c r="L59" s="575">
        <v>0.04</v>
      </c>
      <c r="M59"/>
      <c r="N59"/>
    </row>
    <row r="60" spans="1:14" s="507" customFormat="1" ht="18.75" customHeight="1">
      <c r="B60" s="567" t="s">
        <v>1297</v>
      </c>
      <c r="C60" s="568">
        <f>+'Part V-Revenues &amp; Expenses'!L241</f>
        <v>103500</v>
      </c>
      <c r="D60" s="568"/>
      <c r="E60" s="568">
        <f>$C$60</f>
        <v>103500</v>
      </c>
      <c r="F60" s="568"/>
      <c r="G60" s="568">
        <f>$C$60</f>
        <v>103500</v>
      </c>
      <c r="H60" s="568"/>
      <c r="I60" s="568">
        <f>$C$60*(1+$J$50)</f>
        <v>106605</v>
      </c>
      <c r="J60" s="570"/>
      <c r="K60" s="568">
        <f>$C$60*(1+$J$50)</f>
        <v>106605</v>
      </c>
      <c r="L60" s="571">
        <v>0.03</v>
      </c>
      <c r="M60"/>
      <c r="N60"/>
    </row>
    <row r="61" spans="1:14" s="507" customFormat="1" ht="18.75" customHeight="1">
      <c r="B61" s="567" t="s">
        <v>1298</v>
      </c>
      <c r="C61" s="568">
        <f>+'Part V-Revenues &amp; Expenses'!L247</f>
        <v>123250</v>
      </c>
      <c r="D61" s="568"/>
      <c r="E61" s="568">
        <f>$C$61</f>
        <v>123250</v>
      </c>
      <c r="F61" s="568"/>
      <c r="G61" s="568">
        <f>$C$61*(1+H50)</f>
        <v>129412.5</v>
      </c>
      <c r="H61" s="570"/>
      <c r="I61" s="568">
        <f>$C$61</f>
        <v>123250</v>
      </c>
      <c r="J61" s="568"/>
      <c r="K61" s="568">
        <f>$C$61*(1+$L$61)</f>
        <v>129412.5</v>
      </c>
      <c r="L61" s="571">
        <v>0.05</v>
      </c>
      <c r="M61"/>
      <c r="N61"/>
    </row>
    <row r="62" spans="1:14" s="507" customFormat="1" ht="18.75" customHeight="1">
      <c r="B62" s="573" t="s">
        <v>2693</v>
      </c>
      <c r="C62" s="574">
        <f>SUM(C58:C61)</f>
        <v>450650</v>
      </c>
      <c r="D62" s="568"/>
      <c r="E62" s="574">
        <f>SUM(E58:E61)</f>
        <v>450650</v>
      </c>
      <c r="F62" s="568"/>
      <c r="G62" s="574">
        <f>SUM(G58:G61)</f>
        <v>456812.5</v>
      </c>
      <c r="H62" s="568"/>
      <c r="I62" s="574">
        <f>SUM(I58:I61)</f>
        <v>453755</v>
      </c>
      <c r="J62" s="568"/>
      <c r="K62" s="574">
        <f>SUM(K58:K61)</f>
        <v>462097.5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754182.03760000016</v>
      </c>
      <c r="D64" s="577"/>
      <c r="E64" s="577">
        <f>E56-E62</f>
        <v>715316.48800000013</v>
      </c>
      <c r="F64" s="577"/>
      <c r="G64" s="577">
        <f>G56-G62</f>
        <v>748019.53760000016</v>
      </c>
      <c r="H64" s="577"/>
      <c r="I64" s="577">
        <f>I56-I62</f>
        <v>751077.03760000016</v>
      </c>
      <c r="J64" s="577"/>
      <c r="K64" s="577">
        <f>K56-K62</f>
        <v>703868.98800000013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22500</v>
      </c>
      <c r="D66" s="568"/>
      <c r="E66" s="568">
        <f>$C$66</f>
        <v>22500</v>
      </c>
      <c r="F66" s="568"/>
      <c r="G66" s="568">
        <f>$C$66</f>
        <v>22500</v>
      </c>
      <c r="H66" s="568"/>
      <c r="I66" s="568">
        <f>$C$66</f>
        <v>22500</v>
      </c>
      <c r="J66" s="568"/>
      <c r="K66" s="568">
        <f>$C$66</f>
        <v>22500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60242</v>
      </c>
      <c r="D68" s="568"/>
      <c r="E68" s="568">
        <f>$C$68</f>
        <v>60242</v>
      </c>
      <c r="F68" s="568"/>
      <c r="G68" s="568">
        <f>$C$68</f>
        <v>60242</v>
      </c>
      <c r="H68" s="568"/>
      <c r="I68" s="568">
        <f>$C$68</f>
        <v>60242</v>
      </c>
      <c r="J68" s="568"/>
      <c r="K68" s="568">
        <f>$C$68</f>
        <v>60242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671440.03760000016</v>
      </c>
      <c r="D70" s="577"/>
      <c r="E70" s="580">
        <f>E64-E66-E68</f>
        <v>632574.48800000013</v>
      </c>
      <c r="F70" s="577"/>
      <c r="G70" s="580">
        <f>G64-G66-G68</f>
        <v>665277.53760000016</v>
      </c>
      <c r="H70" s="577"/>
      <c r="I70" s="580">
        <f>I64-I66-I68</f>
        <v>668335.03760000016</v>
      </c>
      <c r="J70" s="577"/>
      <c r="K70" s="580">
        <f>K64-K66-K68</f>
        <v>621126.98800000013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1.3102976171554872</v>
      </c>
      <c r="D72" s="581"/>
      <c r="E72" s="1004">
        <f>-E70/E75</f>
        <v>1.2344525168061742</v>
      </c>
      <c r="F72" s="581"/>
      <c r="G72" s="1004">
        <f>-G70/G75</f>
        <v>1.2982716600877748</v>
      </c>
      <c r="H72" s="581"/>
      <c r="I72" s="1004">
        <f>-I70/I75</f>
        <v>1.3042382911197474</v>
      </c>
      <c r="J72" s="581"/>
      <c r="K72" s="1004">
        <f>-K70/K75</f>
        <v>1.2121130208982416</v>
      </c>
      <c r="L72" s="4"/>
      <c r="M72" s="10"/>
      <c r="N72" s="10"/>
    </row>
    <row r="73" spans="1:14" s="507" customFormat="1" ht="18.75" customHeight="1">
      <c r="A73"/>
      <c r="B73" s="567" t="s">
        <v>2699</v>
      </c>
      <c r="C73" s="1005">
        <f>C76/C62</f>
        <v>0.35283880971877701</v>
      </c>
      <c r="D73" s="582"/>
      <c r="E73" s="1005">
        <f>E76/E62</f>
        <v>0.26659549539502236</v>
      </c>
      <c r="F73" s="582"/>
      <c r="G73" s="1005">
        <f>G76/G62</f>
        <v>0.33458871987909011</v>
      </c>
      <c r="H73" s="582"/>
      <c r="I73" s="1005">
        <f>I76/I62</f>
        <v>0.34358146929459038</v>
      </c>
      <c r="J73" s="582"/>
      <c r="K73" s="1005">
        <f>K76/K62</f>
        <v>0.23521823857468788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-512433.2280002333</v>
      </c>
      <c r="D75" s="568"/>
      <c r="E75" s="568">
        <f>$C$75</f>
        <v>-512433.2280002333</v>
      </c>
      <c r="F75" s="568"/>
      <c r="G75" s="568">
        <f>$C$75</f>
        <v>-512433.2280002333</v>
      </c>
      <c r="H75" s="568"/>
      <c r="I75" s="568">
        <f>$C$75</f>
        <v>-512433.2280002333</v>
      </c>
      <c r="J75" s="568"/>
      <c r="K75" s="568">
        <f>$C$75</f>
        <v>-512433.2280002333</v>
      </c>
      <c r="L75" s="26"/>
      <c r="M75"/>
      <c r="N75"/>
    </row>
    <row r="76" spans="1:14" s="507" customFormat="1" ht="18.75" customHeight="1">
      <c r="A76"/>
      <c r="B76" s="567" t="s">
        <v>1096</v>
      </c>
      <c r="C76" s="568">
        <f>C70+C75</f>
        <v>159006.80959976686</v>
      </c>
      <c r="D76" s="568"/>
      <c r="E76" s="568">
        <f>E70+E75</f>
        <v>120141.25999976683</v>
      </c>
      <c r="F76" s="568"/>
      <c r="G76" s="568">
        <f>G70+G75</f>
        <v>152844.30959976686</v>
      </c>
      <c r="H76" s="568"/>
      <c r="I76" s="568">
        <f>I70+I75</f>
        <v>155901.80959976686</v>
      </c>
      <c r="J76" s="568"/>
      <c r="K76" s="568">
        <f>K70+K75</f>
        <v>108693.75999976683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25403016</v>
      </c>
    </row>
    <row r="5" spans="1:7">
      <c r="A5" s="953" t="s">
        <v>3447</v>
      </c>
      <c r="B5" s="954">
        <f>+B18+B26+B38</f>
        <v>5346648.6831816789</v>
      </c>
    </row>
    <row r="6" spans="1:7">
      <c r="A6" s="953" t="s">
        <v>3417</v>
      </c>
      <c r="B6" s="955">
        <f>+B5-B4</f>
        <v>-20056367.316818319</v>
      </c>
    </row>
    <row r="7" spans="1:7">
      <c r="A7" s="953" t="s">
        <v>3418</v>
      </c>
      <c r="B7" s="956">
        <f>+B6/B4</f>
        <v>-0.78952701194292518</v>
      </c>
    </row>
    <row r="8" spans="1:7" ht="9" customHeight="1"/>
    <row r="9" spans="1:7">
      <c r="A9" s="953" t="s">
        <v>3419</v>
      </c>
      <c r="B9" s="954">
        <f>+B18+B26+B33</f>
        <v>5346648.6831816789</v>
      </c>
    </row>
    <row r="10" spans="1:7">
      <c r="A10" s="953" t="s">
        <v>3417</v>
      </c>
      <c r="B10" s="955">
        <f>+B9-B4</f>
        <v>-20056367.316818319</v>
      </c>
    </row>
    <row r="11" spans="1:7">
      <c r="A11" s="953" t="s">
        <v>3418</v>
      </c>
      <c r="B11" s="956">
        <f>+B10/B4</f>
        <v>-0.78952701194292518</v>
      </c>
    </row>
    <row r="12" spans="1:7" ht="24" customHeight="1"/>
    <row r="13" spans="1:7">
      <c r="A13" s="952" t="s">
        <v>3420</v>
      </c>
      <c r="D13" s="1010" t="s">
        <v>3664</v>
      </c>
      <c r="E13" s="1011"/>
    </row>
    <row r="14" spans="1:7">
      <c r="A14" s="953" t="s">
        <v>3421</v>
      </c>
      <c r="B14" s="957">
        <f>+SUM('Part II-Sources of Funds'!L51:M52)</f>
        <v>18007500</v>
      </c>
      <c r="D14" s="1011"/>
      <c r="E14" s="1011"/>
    </row>
    <row r="15" spans="1:7">
      <c r="A15" s="953" t="s">
        <v>3422</v>
      </c>
      <c r="B15" s="958">
        <f>+'Part III-A-Uses of Funds'!J180</f>
        <v>1812921.6</v>
      </c>
      <c r="D15" s="1011" t="s">
        <v>1895</v>
      </c>
      <c r="G15" s="1012">
        <f>'Part III-A-Uses of Funds'!J168</f>
        <v>19099433.777777776</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9083690.7047111113</v>
      </c>
    </row>
    <row r="20" spans="1:7">
      <c r="A20" s="953" t="s">
        <v>3425</v>
      </c>
      <c r="B20" s="957">
        <f>+B18-B14</f>
        <v>-18007500</v>
      </c>
      <c r="D20" s="1011" t="s">
        <v>3669</v>
      </c>
      <c r="G20" s="1014">
        <f>+B14-G19</f>
        <v>8923809.2952888887</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7273800</v>
      </c>
    </row>
    <row r="25" spans="1:7">
      <c r="A25" s="953" t="s">
        <v>3429</v>
      </c>
      <c r="B25" s="961">
        <f>IF('Part II-Sources of Funds'!E6="Yes","N/A",MAX(B46:P46))</f>
        <v>-47100.136666433536</v>
      </c>
    </row>
    <row r="26" spans="1:7">
      <c r="A26" s="953" t="s">
        <v>3430</v>
      </c>
      <c r="B26" s="951">
        <f>IFERROR(PV('Part II-Sources of Funds'!K40,'Part II-Sources of Funds'!L40,B25+B45),B24)</f>
        <v>5346648.6831816789</v>
      </c>
    </row>
    <row r="27" spans="1:7" ht="9" customHeight="1">
      <c r="B27" s="951"/>
    </row>
    <row r="28" spans="1:7">
      <c r="A28" s="953" t="s">
        <v>3431</v>
      </c>
      <c r="B28" s="962">
        <f>+B26-B24</f>
        <v>-1927151.3168183211</v>
      </c>
      <c r="C28" s="963"/>
    </row>
    <row r="29" spans="1:7">
      <c r="A29" s="953" t="s">
        <v>3426</v>
      </c>
      <c r="B29" s="964">
        <f>+B28/B24</f>
        <v>-0.26494422678906776</v>
      </c>
    </row>
    <row r="30" spans="1:7" ht="24" customHeight="1"/>
    <row r="31" spans="1:7">
      <c r="A31" s="952" t="s">
        <v>3361</v>
      </c>
    </row>
    <row r="32" spans="1:7">
      <c r="A32" s="953" t="s">
        <v>3432</v>
      </c>
      <c r="B32" s="965">
        <f>+'Part II-Sources of Funds'!I45</f>
        <v>122806</v>
      </c>
    </row>
    <row r="33" spans="1:11">
      <c r="A33" s="953" t="s">
        <v>3433</v>
      </c>
      <c r="B33" s="951"/>
    </row>
    <row r="34" spans="1:11" ht="9" customHeight="1">
      <c r="B34" s="951"/>
    </row>
    <row r="35" spans="1:11">
      <c r="A35" s="953" t="s">
        <v>3434</v>
      </c>
      <c r="B35" s="965">
        <f>+B33-B32</f>
        <v>-122806</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671440.03760000016</v>
      </c>
      <c r="C44" s="954">
        <f>+'Part VI-Pro Forma'!C25</f>
        <v>679535.17835199996</v>
      </c>
      <c r="D44" s="954">
        <f>+'Part VI-Pro Forma'!D25</f>
        <v>687631.41691904003</v>
      </c>
      <c r="E44" s="954">
        <f>+'Part VI-Pro Forma'!E25</f>
        <v>695725.61690742045</v>
      </c>
      <c r="F44" s="954">
        <f>+'Part VI-Pro Forma'!F25</f>
        <v>703811.4514450694</v>
      </c>
      <c r="G44" s="954">
        <f>+'Part VI-Pro Forma'!G25</f>
        <v>711884.39553945558</v>
      </c>
      <c r="H44" s="954">
        <f>+'Part VI-Pro Forma'!H25</f>
        <v>719938.71816769417</v>
      </c>
      <c r="I44" s="954">
        <f>+'Part VI-Pro Forma'!I25</f>
        <v>727968.47409002099</v>
      </c>
      <c r="J44" s="954">
        <f>+'Part VI-Pro Forma'!J25</f>
        <v>735967.49537756364</v>
      </c>
      <c r="K44" s="954">
        <f>+'Part VI-Pro Forma'!K25</f>
        <v>743930.38264502969</v>
      </c>
    </row>
    <row r="45" spans="1:11">
      <c r="A45" s="953" t="s">
        <v>3438</v>
      </c>
      <c r="B45" s="954">
        <f>SUM('Part VI-Pro Forma'!B26:B29)</f>
        <v>-512433.2280002333</v>
      </c>
      <c r="C45" s="954">
        <f>SUM('Part VI-Pro Forma'!C26:C29)</f>
        <v>-512433.2280002333</v>
      </c>
      <c r="D45" s="954">
        <f>SUM('Part VI-Pro Forma'!D26:D29)</f>
        <v>-512433.2280002333</v>
      </c>
      <c r="E45" s="954">
        <f>SUM('Part VI-Pro Forma'!E26:E29)</f>
        <v>-512433.2280002333</v>
      </c>
      <c r="F45" s="954">
        <f>SUM('Part VI-Pro Forma'!F26:F29)</f>
        <v>-512433.2280002333</v>
      </c>
      <c r="G45" s="954">
        <f>SUM('Part VI-Pro Forma'!G26:G29)</f>
        <v>-512433.2280002333</v>
      </c>
      <c r="H45" s="954">
        <f>SUM('Part VI-Pro Forma'!H26:H29)</f>
        <v>-512433.2280002333</v>
      </c>
      <c r="I45" s="954">
        <f>SUM('Part VI-Pro Forma'!I26:I29)</f>
        <v>-512433.2280002333</v>
      </c>
      <c r="J45" s="954">
        <f>SUM('Part VI-Pro Forma'!J26:J29)</f>
        <v>-512433.2280002333</v>
      </c>
      <c r="K45" s="954">
        <f>SUM('Part VI-Pro Forma'!K26:K29)</f>
        <v>-512433.2280002333</v>
      </c>
    </row>
    <row r="46" spans="1:11">
      <c r="A46" s="953" t="s">
        <v>3439</v>
      </c>
      <c r="B46" s="955">
        <f t="shared" ref="B46:K46" si="0">-B44/B48-B45</f>
        <v>-47100.136666433536</v>
      </c>
      <c r="C46" s="955">
        <f t="shared" si="0"/>
        <v>-53846.087293100078</v>
      </c>
      <c r="D46" s="955">
        <f t="shared" si="0"/>
        <v>-60592.952765633469</v>
      </c>
      <c r="E46" s="955">
        <f t="shared" si="0"/>
        <v>-67338.119422617136</v>
      </c>
      <c r="F46" s="955">
        <f t="shared" si="0"/>
        <v>-74076.314870657865</v>
      </c>
      <c r="G46" s="955">
        <f t="shared" si="0"/>
        <v>-80803.76828264643</v>
      </c>
      <c r="H46" s="955">
        <f t="shared" si="0"/>
        <v>-87515.703806178528</v>
      </c>
      <c r="I46" s="955">
        <f t="shared" si="0"/>
        <v>-94207.167074784171</v>
      </c>
      <c r="J46" s="955">
        <f t="shared" si="0"/>
        <v>-100873.01814773644</v>
      </c>
      <c r="K46" s="955">
        <f t="shared" si="0"/>
        <v>-107508.7575372915</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671440.03760000016</v>
      </c>
      <c r="C51" s="955">
        <f t="shared" ref="C51:K51" si="2">+C44</f>
        <v>679535.17835199996</v>
      </c>
      <c r="D51" s="955">
        <f t="shared" si="2"/>
        <v>687631.41691904003</v>
      </c>
      <c r="E51" s="955">
        <f t="shared" si="2"/>
        <v>695725.61690742045</v>
      </c>
      <c r="F51" s="955">
        <f t="shared" si="2"/>
        <v>703811.4514450694</v>
      </c>
      <c r="G51" s="955">
        <f t="shared" si="2"/>
        <v>711884.39553945558</v>
      </c>
      <c r="H51" s="955">
        <f t="shared" si="2"/>
        <v>719938.71816769417</v>
      </c>
      <c r="I51" s="955">
        <f t="shared" si="2"/>
        <v>727968.47409002099</v>
      </c>
      <c r="J51" s="955">
        <f t="shared" si="2"/>
        <v>735967.49537756364</v>
      </c>
      <c r="K51" s="955">
        <f t="shared" si="2"/>
        <v>743930.38264502969</v>
      </c>
    </row>
    <row r="52" spans="1:17">
      <c r="A52" s="953" t="s">
        <v>3441</v>
      </c>
      <c r="B52" s="955">
        <f>IF($B$25="N/A",B45,B45+$B$25)</f>
        <v>-559533.36466666684</v>
      </c>
      <c r="C52" s="955">
        <f t="shared" ref="C52:K52" si="3">IF($B$25="N/A",C45,C45+$B$25)</f>
        <v>-559533.36466666684</v>
      </c>
      <c r="D52" s="955">
        <f t="shared" si="3"/>
        <v>-559533.36466666684</v>
      </c>
      <c r="E52" s="955">
        <f t="shared" si="3"/>
        <v>-559533.36466666684</v>
      </c>
      <c r="F52" s="955">
        <f t="shared" si="3"/>
        <v>-559533.36466666684</v>
      </c>
      <c r="G52" s="955">
        <f t="shared" si="3"/>
        <v>-559533.36466666684</v>
      </c>
      <c r="H52" s="955">
        <f t="shared" si="3"/>
        <v>-559533.36466666684</v>
      </c>
      <c r="I52" s="955">
        <f t="shared" si="3"/>
        <v>-559533.36466666684</v>
      </c>
      <c r="J52" s="955">
        <f t="shared" si="3"/>
        <v>-559533.36466666684</v>
      </c>
      <c r="K52" s="955">
        <f t="shared" si="3"/>
        <v>-559533.36466666684</v>
      </c>
    </row>
    <row r="53" spans="1:17">
      <c r="A53" s="953" t="s">
        <v>3442</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3443</v>
      </c>
      <c r="B54" s="955">
        <f>+SUM(B51:B53)</f>
        <v>106906.67293333332</v>
      </c>
      <c r="C54" s="955">
        <f t="shared" ref="C54:K54" si="4">+SUM(C51:C53)</f>
        <v>115001.81368533312</v>
      </c>
      <c r="D54" s="955">
        <f t="shared" si="4"/>
        <v>123098.05225237319</v>
      </c>
      <c r="E54" s="955">
        <f t="shared" si="4"/>
        <v>131192.25224075362</v>
      </c>
      <c r="F54" s="955">
        <f t="shared" si="4"/>
        <v>139278.08677840256</v>
      </c>
      <c r="G54" s="955">
        <f t="shared" si="4"/>
        <v>147351.03087278875</v>
      </c>
      <c r="H54" s="955">
        <f t="shared" si="4"/>
        <v>155405.35350102733</v>
      </c>
      <c r="I54" s="955">
        <f t="shared" si="4"/>
        <v>163435.10942335415</v>
      </c>
      <c r="J54" s="955">
        <f t="shared" si="4"/>
        <v>171434.1307108968</v>
      </c>
      <c r="K54" s="955">
        <f t="shared" si="4"/>
        <v>179397.01797836286</v>
      </c>
    </row>
    <row r="55" spans="1:17">
      <c r="A55" s="953" t="s">
        <v>3361</v>
      </c>
      <c r="B55" s="955">
        <f>-B54</f>
        <v>-106906.67293333332</v>
      </c>
      <c r="C55" s="955">
        <f t="shared" ref="C55:K55" si="5">-C54</f>
        <v>-115001.81368533312</v>
      </c>
      <c r="D55" s="955">
        <f t="shared" si="5"/>
        <v>-123098.05225237319</v>
      </c>
      <c r="E55" s="955">
        <f t="shared" si="5"/>
        <v>-131192.25224075362</v>
      </c>
      <c r="F55" s="955">
        <f t="shared" si="5"/>
        <v>-139278.08677840256</v>
      </c>
      <c r="G55" s="955">
        <f t="shared" si="5"/>
        <v>-147351.03087278875</v>
      </c>
      <c r="H55" s="955">
        <f t="shared" si="5"/>
        <v>-155405.35350102733</v>
      </c>
      <c r="I55" s="955">
        <f t="shared" si="5"/>
        <v>-163435.10942335415</v>
      </c>
      <c r="J55" s="955">
        <f t="shared" si="5"/>
        <v>-171434.1307108968</v>
      </c>
      <c r="K55" s="955">
        <f t="shared" si="5"/>
        <v>-179397.01797836286</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5114711.6069760742</v>
      </c>
      <c r="C58" s="954">
        <f>IF($B$26="","",-FV('Part II-Sources of Funds'!$K$40/12,12,C52/12,B58))</f>
        <v>4867855.9171544341</v>
      </c>
      <c r="D58" s="954">
        <f>IF($B$26="","",-FV('Part II-Sources of Funds'!$K$40/12,12,D52/12,C58))</f>
        <v>4605122.0214175638</v>
      </c>
      <c r="E58" s="954">
        <f>IF($B$26="","",-FV('Part II-Sources of Funds'!$K$40/12,12,E52/12,D58))</f>
        <v>4325488.6047483031</v>
      </c>
      <c r="F58" s="954">
        <f>IF($B$26="","",-FV('Part II-Sources of Funds'!$K$40/12,12,F52/12,E58))</f>
        <v>4027868.6592943016</v>
      </c>
      <c r="G58" s="954">
        <f>IF($B$26="","",-FV('Part II-Sources of Funds'!$K$40/12,12,G52/12,F58))</f>
        <v>3711105.2588856565</v>
      </c>
      <c r="H58" s="954">
        <f>IF($B$26="","",-FV('Part II-Sources of Funds'!$K$40/12,12,H52/12,G58))</f>
        <v>3373967.0617618496</v>
      </c>
      <c r="I58" s="954">
        <f>IF($B$26="","",-FV('Part II-Sources of Funds'!$K$40/12,12,I52/12,H58))</f>
        <v>3015143.5240259264</v>
      </c>
      <c r="J58" s="954">
        <f>IF($B$26="","",-FV('Part II-Sources of Funds'!$K$40/12,12,J52/12,I58))</f>
        <v>2633239.8052193588</v>
      </c>
      <c r="K58" s="954">
        <f>IF($B$26="","",-FV('Part II-Sources of Funds'!$K$40/12,12,K52/12,J58))</f>
        <v>2226771.34621424</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751849.49597864202</v>
      </c>
      <c r="C64" s="954">
        <f>+'Part VI-Pro Forma'!C57</f>
        <v>759717.94554934802</v>
      </c>
      <c r="D64" s="954">
        <f>+'Part VI-Pro Forma'!D57</f>
        <v>767528.58190100268</v>
      </c>
      <c r="E64" s="954">
        <f>+'Part VI-Pro Forma'!E57</f>
        <v>775274.98590290989</v>
      </c>
      <c r="F64" s="954">
        <f>+'Part VI-Pro Forma'!F57</f>
        <v>782947.45835577196</v>
      </c>
      <c r="G64" s="954">
        <f>+'Part VI-Pro Forma'!G57</f>
        <v>790538.00923973497</v>
      </c>
      <c r="H64" s="954">
        <f>+'Part VI-Pro Forma'!H57</f>
        <v>798038.34659288358</v>
      </c>
      <c r="I64" s="954">
        <f>+'Part VI-Pro Forma'!I57</f>
        <v>805439.86500814557</v>
      </c>
      <c r="J64" s="954">
        <f>+'Part VI-Pro Forma'!J57</f>
        <v>812732.63373621448</v>
      </c>
      <c r="K64" s="954">
        <f>+'Part VI-Pro Forma'!K57</f>
        <v>819906.38438168226</v>
      </c>
    </row>
    <row r="65" spans="1:11">
      <c r="A65" s="953" t="s">
        <v>3438</v>
      </c>
      <c r="B65" s="954">
        <f>SUM('Part VI-Pro Forma'!B58:B61)</f>
        <v>-512433.2280002333</v>
      </c>
      <c r="C65" s="954">
        <f>SUM('Part VI-Pro Forma'!C58:C61)</f>
        <v>-512433.2280002333</v>
      </c>
      <c r="D65" s="954">
        <f>SUM('Part VI-Pro Forma'!D58:D61)</f>
        <v>-512433.2280002333</v>
      </c>
      <c r="E65" s="954">
        <f>SUM('Part VI-Pro Forma'!E58:E61)</f>
        <v>-512433.2280002333</v>
      </c>
      <c r="F65" s="954">
        <f>SUM('Part VI-Pro Forma'!F58:F61)</f>
        <v>-512433.2280002333</v>
      </c>
      <c r="G65" s="954">
        <f>SUM('Part VI-Pro Forma'!G58:G61)</f>
        <v>-512433.2280002333</v>
      </c>
      <c r="H65" s="954">
        <f>SUM('Part VI-Pro Forma'!H58:H61)</f>
        <v>-512433.2280002333</v>
      </c>
      <c r="I65" s="954">
        <f>SUM('Part VI-Pro Forma'!I58:I61)</f>
        <v>-512433.2280002333</v>
      </c>
      <c r="J65" s="954">
        <f>SUM('Part VI-Pro Forma'!J58:J61)</f>
        <v>-512433.2280002333</v>
      </c>
      <c r="K65" s="954">
        <f>SUM('Part VI-Pro Forma'!K58:K61)</f>
        <v>-512433.2280002333</v>
      </c>
    </row>
    <row r="66" spans="1:11">
      <c r="A66" s="953" t="s">
        <v>3439</v>
      </c>
      <c r="B66" s="955">
        <f t="shared" ref="B66:K66" si="7">-B64/B68-B65</f>
        <v>-114108.01864863513</v>
      </c>
      <c r="C66" s="955">
        <f t="shared" si="7"/>
        <v>-120665.05995755678</v>
      </c>
      <c r="D66" s="955">
        <f t="shared" si="7"/>
        <v>-127173.9235839356</v>
      </c>
      <c r="E66" s="955">
        <f t="shared" si="7"/>
        <v>-133629.26025219169</v>
      </c>
      <c r="F66" s="955">
        <f t="shared" si="7"/>
        <v>-140022.98729624331</v>
      </c>
      <c r="G66" s="955">
        <f t="shared" si="7"/>
        <v>-146348.44636621256</v>
      </c>
      <c r="H66" s="955">
        <f t="shared" si="7"/>
        <v>-152598.72749383643</v>
      </c>
      <c r="I66" s="955">
        <f t="shared" si="7"/>
        <v>-158766.65950655472</v>
      </c>
      <c r="J66" s="955">
        <f t="shared" si="7"/>
        <v>-164843.96677994542</v>
      </c>
      <c r="K66" s="955">
        <f t="shared" si="7"/>
        <v>-170822.09231783531</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751849.49597864202</v>
      </c>
      <c r="C71" s="955">
        <f t="shared" si="9"/>
        <v>759717.94554934802</v>
      </c>
      <c r="D71" s="955">
        <f t="shared" si="9"/>
        <v>767528.58190100268</v>
      </c>
      <c r="E71" s="955">
        <f t="shared" si="9"/>
        <v>775274.98590290989</v>
      </c>
      <c r="F71" s="955">
        <f t="shared" si="9"/>
        <v>782947.45835577196</v>
      </c>
      <c r="G71" s="955">
        <f t="shared" si="9"/>
        <v>790538.00923973497</v>
      </c>
      <c r="H71" s="955">
        <f>+H64</f>
        <v>798038.34659288358</v>
      </c>
      <c r="I71" s="955">
        <f>+I64</f>
        <v>805439.86500814557</v>
      </c>
      <c r="J71" s="955">
        <f>+J64</f>
        <v>812732.63373621448</v>
      </c>
      <c r="K71" s="955">
        <f>+K64</f>
        <v>819906.38438168226</v>
      </c>
    </row>
    <row r="72" spans="1:11">
      <c r="A72" s="953" t="s">
        <v>3441</v>
      </c>
      <c r="B72" s="955">
        <f t="shared" ref="B72:G72" si="10">IF($B$25="N/A",B65,B65+$B$25)</f>
        <v>-559533.36466666684</v>
      </c>
      <c r="C72" s="955">
        <f t="shared" si="10"/>
        <v>-559533.36466666684</v>
      </c>
      <c r="D72" s="955">
        <f t="shared" si="10"/>
        <v>-559533.36466666684</v>
      </c>
      <c r="E72" s="955">
        <f t="shared" si="10"/>
        <v>-559533.36466666684</v>
      </c>
      <c r="F72" s="955">
        <f t="shared" si="10"/>
        <v>-559533.36466666684</v>
      </c>
      <c r="G72" s="955">
        <f t="shared" si="10"/>
        <v>-559533.36466666684</v>
      </c>
      <c r="H72" s="955">
        <f>IF($B$25="N/A",H65,H65+$B$25)</f>
        <v>-559533.36466666684</v>
      </c>
      <c r="I72" s="955">
        <f>IF($B$25="N/A",I65,I65+$B$25)</f>
        <v>-559533.36466666684</v>
      </c>
      <c r="J72" s="955">
        <f>IF($B$25="N/A",J65,J65+$B$25)</f>
        <v>-559533.36466666684</v>
      </c>
      <c r="K72" s="955">
        <f>IF($B$25="N/A",K65,K65+$B$25)</f>
        <v>-559533.36466666684</v>
      </c>
    </row>
    <row r="73" spans="1:11">
      <c r="A73" s="953" t="s">
        <v>3442</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3443</v>
      </c>
      <c r="B74" s="955">
        <f t="shared" ref="B74:G74" si="11">+SUM(B71:B73)</f>
        <v>187316.13131197519</v>
      </c>
      <c r="C74" s="955">
        <f t="shared" si="11"/>
        <v>195184.58088268118</v>
      </c>
      <c r="D74" s="955">
        <f t="shared" si="11"/>
        <v>202995.21723433584</v>
      </c>
      <c r="E74" s="955">
        <f t="shared" si="11"/>
        <v>210741.62123624305</v>
      </c>
      <c r="F74" s="955">
        <f t="shared" si="11"/>
        <v>218414.09368910512</v>
      </c>
      <c r="G74" s="955">
        <f t="shared" si="11"/>
        <v>226004.64457306813</v>
      </c>
      <c r="H74" s="955">
        <f>+SUM(H71:H73)</f>
        <v>233504.98192621674</v>
      </c>
      <c r="I74" s="955">
        <f>+SUM(I71:I73)</f>
        <v>240906.50034147874</v>
      </c>
      <c r="J74" s="955">
        <f>+SUM(J71:J73)</f>
        <v>248199.26906954765</v>
      </c>
      <c r="K74" s="955">
        <f>+SUM(K71:K73)</f>
        <v>255373.01971501543</v>
      </c>
    </row>
    <row r="75" spans="1:11">
      <c r="A75" s="953" t="s">
        <v>3361</v>
      </c>
      <c r="B75" s="955">
        <f t="shared" ref="B75:G75" si="12">-B74</f>
        <v>-187316.13131197519</v>
      </c>
      <c r="C75" s="955">
        <f t="shared" si="12"/>
        <v>-195184.58088268118</v>
      </c>
      <c r="D75" s="955">
        <f t="shared" si="12"/>
        <v>-202995.21723433584</v>
      </c>
      <c r="E75" s="955">
        <f t="shared" si="12"/>
        <v>-210741.62123624305</v>
      </c>
      <c r="F75" s="955">
        <f t="shared" si="12"/>
        <v>-218414.09368910512</v>
      </c>
      <c r="G75" s="955">
        <f t="shared" si="12"/>
        <v>-226004.64457306813</v>
      </c>
      <c r="H75" s="955">
        <f>-H74</f>
        <v>-233504.98192621674</v>
      </c>
      <c r="I75" s="955">
        <f>-I74</f>
        <v>-240906.50034147874</v>
      </c>
      <c r="J75" s="955">
        <f>-J74</f>
        <v>-248199.26906954765</v>
      </c>
      <c r="K75" s="955">
        <f>-K74</f>
        <v>-255373.01971501543</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1794158.0983456653</v>
      </c>
      <c r="C78" s="954">
        <f>IF($B$26="","",-FV('Part II-Sources of Funds'!$K$40/12,12,C72/12,B78))</f>
        <v>1333718.3813514379</v>
      </c>
      <c r="D78" s="954">
        <f>IF($B$26="","",-FV('Part II-Sources of Funds'!$K$40/12,12,D72/12,C78))</f>
        <v>843662.34624330781</v>
      </c>
      <c r="E78" s="954">
        <f>IF($B$26="","",-FV('Part II-Sources of Funds'!$K$40/12,12,E72/12,D78))</f>
        <v>322085.01769823011</v>
      </c>
      <c r="F78" s="954">
        <f>IF($B$26="","",-FV('Part II-Sources of Funds'!$K$40/12,12,F72/12,E78))</f>
        <v>-233041.11107639893</v>
      </c>
      <c r="G78" s="954">
        <f>IF($B$26="","",-FV('Part II-Sources of Funds'!$K$40/12,12,G72/12,F78))</f>
        <v>-823873.95978921</v>
      </c>
      <c r="H78" s="954">
        <f>IF($B$26="","",-FV('Part II-Sources of Funds'!$K$40/12,12,H72/12,G78))</f>
        <v>-1452710.2494602676</v>
      </c>
      <c r="I78" s="954">
        <f>IF($B$26="","",-FV('Part II-Sources of Funds'!$K$40/12,12,I72/12,H78))</f>
        <v>-2121994.4303732915</v>
      </c>
      <c r="J78" s="954">
        <f>IF($B$26="","",-FV('Part II-Sources of Funds'!$K$40/12,12,J72/12,I78))</f>
        <v>-2834328.1842899653</v>
      </c>
      <c r="K78" s="954">
        <f>IF($B$26="","",-FV('Part II-Sources of Funds'!$K$40/12,12,K72/12,J78))</f>
        <v>-3592480.5378639121</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Helix</v>
      </c>
    </row>
    <row r="2" spans="1:15" ht="13.5" customHeight="1"/>
    <row r="3" spans="1:15" ht="13.5" customHeight="1">
      <c r="A3" s="517" t="s">
        <v>2706</v>
      </c>
      <c r="C3" s="516" t="s">
        <v>2707</v>
      </c>
      <c r="E3" s="586">
        <f>SUM('Part III-A-Uses of Funds'!J162,'Part III-A-Uses of Funds'!M162,'Part III-A-Uses of Funds'!P162)</f>
        <v>21486863</v>
      </c>
      <c r="F3" s="1024" t="s">
        <v>2708</v>
      </c>
      <c r="H3" s="1006">
        <v>27.5</v>
      </c>
      <c r="I3" s="516" t="s">
        <v>2273</v>
      </c>
      <c r="K3" s="521" t="s">
        <v>2729</v>
      </c>
      <c r="M3" s="1024"/>
      <c r="O3" s="587"/>
    </row>
    <row r="4" spans="1:15" ht="13.5" customHeight="1">
      <c r="C4" s="516" t="s">
        <v>3127</v>
      </c>
      <c r="E4" s="586">
        <f>SUM('Part III-A-Uses of Funds'!G97:H101)</f>
        <v>197738</v>
      </c>
      <c r="F4" s="1024" t="s">
        <v>3661</v>
      </c>
      <c r="H4" s="517">
        <f>'Part II-Sources of Funds'!M40</f>
        <v>35</v>
      </c>
      <c r="I4" s="516" t="s">
        <v>2273</v>
      </c>
      <c r="K4" s="588" t="s">
        <v>2957</v>
      </c>
      <c r="M4" s="1024"/>
    </row>
    <row r="5" spans="1:15" ht="13.5" customHeight="1">
      <c r="C5" s="516" t="s">
        <v>3128</v>
      </c>
      <c r="E5" s="586">
        <f>SUM('Part III-A-Uses of Funds'!G105:H111)</f>
        <v>193500</v>
      </c>
      <c r="F5" s="1024" t="s">
        <v>3660</v>
      </c>
      <c r="H5" s="1006">
        <v>15</v>
      </c>
      <c r="I5" s="516" t="s">
        <v>2273</v>
      </c>
      <c r="K5" s="587">
        <f>-E6</f>
        <v>-18006410</v>
      </c>
    </row>
    <row r="6" spans="1:15" ht="13.5" customHeight="1">
      <c r="C6" s="516" t="s">
        <v>2709</v>
      </c>
      <c r="E6" s="589">
        <f>'Part II-Sources of Funds'!$I$51+'Part II-Sources of Funds'!$I$52</f>
        <v>18006410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31200.809599766857</v>
      </c>
      <c r="D9" s="594">
        <f>'Part VI-Pro Forma'!C33</f>
        <v>162101.95035176666</v>
      </c>
      <c r="E9" s="594">
        <f>'Part VI-Pro Forma'!D33</f>
        <v>170198.18891880673</v>
      </c>
      <c r="F9" s="594">
        <f>'Part VI-Pro Forma'!E33</f>
        <v>178292.38890718715</v>
      </c>
      <c r="G9" s="594">
        <f>'Part VI-Pro Forma'!F33</f>
        <v>186378.2234448361</v>
      </c>
      <c r="H9" s="594">
        <f>'Part VI-Pro Forma'!G33</f>
        <v>194451.16753922228</v>
      </c>
      <c r="I9" s="594">
        <f>'Part VI-Pro Forma'!H33</f>
        <v>202505.49016746087</v>
      </c>
      <c r="K9" s="587" t="e">
        <f>F24</f>
        <v>#VALUE!</v>
      </c>
      <c r="N9" s="595" t="s">
        <v>2715</v>
      </c>
    </row>
    <row r="10" spans="1:15" ht="13.5" customHeight="1">
      <c r="A10" s="516" t="s">
        <v>2714</v>
      </c>
      <c r="C10" s="978">
        <f>'Part II-Sources of Funds'!I40-'Part VI-Pro Forma'!B40</f>
        <v>59506.146349362098</v>
      </c>
      <c r="D10" s="596">
        <f>'Part VI-Pro Forma'!B40-'Part VI-Pro Forma'!C40</f>
        <v>63333.689662784338</v>
      </c>
      <c r="E10" s="596">
        <f>'Part VI-Pro Forma'!C40-'Part VI-Pro Forma'!D40</f>
        <v>67407.42750761006</v>
      </c>
      <c r="F10" s="596">
        <f>'Part VI-Pro Forma'!D40-'Part VI-Pro Forma'!E40</f>
        <v>71743.195562845096</v>
      </c>
      <c r="G10" s="596">
        <f>'Part VI-Pro Forma'!E40-'Part VI-Pro Forma'!F40</f>
        <v>76357.8480871059</v>
      </c>
      <c r="H10" s="596">
        <f>'Part VI-Pro Forma'!F40-'Part VI-Pro Forma'!G40</f>
        <v>81269.323435503989</v>
      </c>
      <c r="I10" s="596">
        <f>'Part VI-Pro Forma'!G40-'Part VI-Pro Forma'!H40</f>
        <v>86496.713790706359</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-22500</v>
      </c>
      <c r="D13" s="979">
        <f>'Part VI-Pro Forma'!C23</f>
        <v>-23175</v>
      </c>
      <c r="E13" s="979">
        <f>'Part VI-Pro Forma'!D23</f>
        <v>-23870.25</v>
      </c>
      <c r="F13" s="979">
        <f>'Part VI-Pro Forma'!E23</f>
        <v>-24586.357500000002</v>
      </c>
      <c r="G13" s="979">
        <f>'Part VI-Pro Forma'!F23</f>
        <v>-25323.948224999996</v>
      </c>
      <c r="H13" s="979">
        <f>'Part VI-Pro Forma'!G23</f>
        <v>-26083.666671749997</v>
      </c>
      <c r="I13" s="979">
        <f>'Part VI-Pro Forma'!H23</f>
        <v>-26866.176671902496</v>
      </c>
      <c r="K13" s="587" t="e">
        <f>C44</f>
        <v>#VALUE!</v>
      </c>
      <c r="O13" s="592"/>
    </row>
    <row r="14" spans="1:15" ht="13.5" customHeight="1">
      <c r="A14" s="598" t="s">
        <v>3130</v>
      </c>
      <c r="B14" s="598"/>
      <c r="C14" s="979">
        <f>'Part VI-Pro Forma'!B32</f>
        <v>-122806</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781340.47272727278</v>
      </c>
      <c r="D15" s="599">
        <f t="shared" si="0"/>
        <v>781340.47272727278</v>
      </c>
      <c r="E15" s="599">
        <f t="shared" si="0"/>
        <v>781340.47272727278</v>
      </c>
      <c r="F15" s="599">
        <f t="shared" si="0"/>
        <v>781340.47272727278</v>
      </c>
      <c r="G15" s="599">
        <f t="shared" si="0"/>
        <v>781340.47272727278</v>
      </c>
      <c r="H15" s="599">
        <f t="shared" si="0"/>
        <v>781340.47272727278</v>
      </c>
      <c r="I15" s="599">
        <f t="shared" si="0"/>
        <v>781340.47272727278</v>
      </c>
      <c r="K15" s="587" t="e">
        <f>E44</f>
        <v>#VALUE!</v>
      </c>
      <c r="O15" s="592"/>
    </row>
    <row r="16" spans="1:15" ht="13.5" customHeight="1">
      <c r="A16" s="516" t="s">
        <v>2719</v>
      </c>
      <c r="C16" s="599">
        <f>IF(C$8&lt;=$H$4,($E$4/$H$4),0)+IF(C$8&lt;=$H$5,($E$5/$H$5),0)</f>
        <v>18549.657142857144</v>
      </c>
      <c r="D16" s="599">
        <f t="shared" ref="D16:I16" si="1">IF(D$8&lt;=$H$4,($E$4/$H$4),0)+IF(D$8&lt;=$H$5,($E$5/$H$5),0)</f>
        <v>18549.657142857144</v>
      </c>
      <c r="E16" s="599">
        <f t="shared" si="1"/>
        <v>18549.657142857144</v>
      </c>
      <c r="F16" s="599">
        <f t="shared" si="1"/>
        <v>18549.657142857144</v>
      </c>
      <c r="G16" s="599">
        <f t="shared" si="1"/>
        <v>18549.657142857144</v>
      </c>
      <c r="H16" s="599">
        <f t="shared" si="1"/>
        <v>18549.657142857144</v>
      </c>
      <c r="I16" s="599">
        <f t="shared" si="1"/>
        <v>18549.657142857144</v>
      </c>
      <c r="K16" s="587" t="e">
        <f>F44</f>
        <v>#VALUE!</v>
      </c>
      <c r="M16" s="516" t="s">
        <v>2723</v>
      </c>
      <c r="O16" s="592">
        <f>E3</f>
        <v>21486863</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15626809.454545455</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5860053.5454545449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5860053.5454545449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-5860053.5454545449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210535.24608978769</v>
      </c>
      <c r="D29" s="594">
        <f>'Part VI-Pro Forma'!J33</f>
        <v>218534.26737733034</v>
      </c>
      <c r="E29" s="594">
        <f>'Part VI-Pro Forma'!K33</f>
        <v>226497.15464479639</v>
      </c>
      <c r="F29" s="594">
        <f>'Part VI-Pro Forma'!B65</f>
        <v>234416.26797840872</v>
      </c>
      <c r="G29" s="594">
        <f>'Part VI-Pro Forma'!C65</f>
        <v>242284.71754911472</v>
      </c>
      <c r="H29" s="594">
        <f>'Part VI-Pro Forma'!D65</f>
        <v>250095.35390076938</v>
      </c>
      <c r="I29" s="594">
        <f>'Part VI-Pro Forma'!E65</f>
        <v>257841.75790267659</v>
      </c>
      <c r="N29" s="603"/>
      <c r="O29" s="603"/>
    </row>
    <row r="30" spans="1:17" ht="13.5" customHeight="1">
      <c r="A30" s="516" t="s">
        <v>2714</v>
      </c>
      <c r="C30" s="596">
        <f>'Part VI-Pro Forma'!H40-'Part VI-Pro Forma'!I40</f>
        <v>92060.339379210025</v>
      </c>
      <c r="D30" s="596">
        <f>'Part VI-Pro Forma'!I40-'Part VI-Pro Forma'!J40</f>
        <v>97981.827461357228</v>
      </c>
      <c r="E30" s="596">
        <f>'Part VI-Pro Forma'!J40-'Part VI-Pro Forma'!K40</f>
        <v>104284.19640211854</v>
      </c>
      <c r="F30" s="976">
        <f>'Part VI-Pro Forma'!K40-'Part VI-Pro Forma'!B72</f>
        <v>110991.94514946733</v>
      </c>
      <c r="G30" s="976">
        <f>'Part VI-Pro Forma'!B72-'Part VI-Pro Forma'!C72</f>
        <v>118131.14846816938</v>
      </c>
      <c r="H30" s="976">
        <f>'Part VI-Pro Forma'!C72-'Part VI-Pro Forma'!D72</f>
        <v>125729.55829917453</v>
      </c>
      <c r="I30" s="976">
        <f>'Part VI-Pro Forma'!D72-'Part VI-Pro Forma'!E72</f>
        <v>133816.71163863223</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-1172010.709090909</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-27672.161972059574</v>
      </c>
      <c r="D33" s="979">
        <f>'Part VI-Pro Forma'!J23</f>
        <v>-28502.326831221359</v>
      </c>
      <c r="E33" s="979">
        <f>'Part VI-Pro Forma'!K23</f>
        <v>-29357.396636157999</v>
      </c>
      <c r="F33" s="979">
        <f>'Part VI-Pro Forma'!B55</f>
        <v>-30238.118535242738</v>
      </c>
      <c r="G33" s="979">
        <f>'Part VI-Pro Forma'!C55</f>
        <v>-31145.262091300025</v>
      </c>
      <c r="H33" s="979">
        <f>'Part VI-Pro Forma'!D55</f>
        <v>-32079.619954039019</v>
      </c>
      <c r="I33" s="979">
        <f>'Part VI-Pro Forma'!E55</f>
        <v>-33042.008552660191</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781340.47272727278</v>
      </c>
      <c r="D35" s="599">
        <f t="shared" si="8"/>
        <v>781340.47272727278</v>
      </c>
      <c r="E35" s="599">
        <f t="shared" si="8"/>
        <v>781340.47272727278</v>
      </c>
      <c r="F35" s="599">
        <f t="shared" si="8"/>
        <v>781340.47272727278</v>
      </c>
      <c r="G35" s="599">
        <f t="shared" si="8"/>
        <v>781340.47272727278</v>
      </c>
      <c r="H35" s="599">
        <f t="shared" si="8"/>
        <v>781340.47272727278</v>
      </c>
      <c r="I35" s="599">
        <f t="shared" si="8"/>
        <v>781340.47272727278</v>
      </c>
    </row>
    <row r="36" spans="1:15" ht="13.5" customHeight="1">
      <c r="A36" s="516" t="s">
        <v>2719</v>
      </c>
      <c r="C36" s="594">
        <f>IF(C$28&lt;=$H$4,($E$4/$H$4),0)+IF(C$28&lt;=$H$5,($E$5/$H$5),0)</f>
        <v>18549.657142857144</v>
      </c>
      <c r="D36" s="594">
        <f t="shared" ref="D36:I36" si="9">IF(D$28&lt;=$H$4,($E$4/$H$4),0)+IF(D$28&lt;=$H$5,($E$5/$H$5),0)</f>
        <v>18549.657142857144</v>
      </c>
      <c r="E36" s="594">
        <f t="shared" si="9"/>
        <v>18549.657142857144</v>
      </c>
      <c r="F36" s="594">
        <f t="shared" si="9"/>
        <v>18549.657142857144</v>
      </c>
      <c r="G36" s="594">
        <f t="shared" si="9"/>
        <v>18549.657142857144</v>
      </c>
      <c r="H36" s="594">
        <f t="shared" si="9"/>
        <v>18549.657142857144</v>
      </c>
      <c r="I36" s="594">
        <f t="shared" si="9"/>
        <v>18549.657142857144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265514.23035553866</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142424.04535588343</v>
      </c>
      <c r="D50" s="977">
        <f>'Part VI-Pro Forma'!F72-'Part VI-Pro Forma'!G72</f>
        <v>151585.01839675009</v>
      </c>
      <c r="E50" s="977">
        <f>'Part VI-Pro Forma'!G72-'Part VI-Pro Forma'!H72</f>
        <v>161335.24184716586</v>
      </c>
      <c r="F50" s="977">
        <f>'Part VI-Pro Forma'!H72-'Part VI-Pro Forma'!I72</f>
        <v>171712.61736273021</v>
      </c>
      <c r="G50" s="977">
        <f>'Part VI-Pro Forma'!I72-'Part VI-Pro Forma'!J72</f>
        <v>182757.48450230714</v>
      </c>
      <c r="H50" s="977">
        <f>'Part VI-Pro Forma'!J72-'Part VI-Pro Forma'!K72</f>
        <v>194512.7775383871</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-34033.268809239999</v>
      </c>
      <c r="D53" s="979">
        <f>'Part VI-Pro Forma'!G55</f>
        <v>-35054.266873517197</v>
      </c>
      <c r="E53" s="979">
        <f>'Part VI-Pro Forma'!H55</f>
        <v>-36105.894879722706</v>
      </c>
      <c r="F53" s="979">
        <f>'Part VI-Pro Forma'!I55</f>
        <v>-37189.071726114387</v>
      </c>
      <c r="G53" s="979">
        <f>'Part VI-Pro Forma'!J55</f>
        <v>-38304.743877897825</v>
      </c>
      <c r="H53" s="979">
        <f>'Part VI-Pro Forma'!K55</f>
        <v>-39453.886194234758</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781340.47272727278</v>
      </c>
      <c r="D55" s="599">
        <f t="shared" si="14"/>
        <v>781340.47272727278</v>
      </c>
      <c r="E55" s="599">
        <f t="shared" si="14"/>
        <v>781340.47272727278</v>
      </c>
      <c r="F55" s="599">
        <f t="shared" si="14"/>
        <v>781340.47272727278</v>
      </c>
      <c r="G55" s="599">
        <f t="shared" si="14"/>
        <v>781340.47272727278</v>
      </c>
      <c r="H55" s="599">
        <f t="shared" si="14"/>
        <v>781340.47272727278</v>
      </c>
    </row>
    <row r="56" spans="1:10" ht="13.5" customHeight="1">
      <c r="A56" s="516" t="s">
        <v>2719</v>
      </c>
      <c r="C56" s="594">
        <f t="shared" ref="C56:H56" si="15">IF(C$48&lt;=$H$4,($E$4/$H$4),0)+IF(C$48&lt;=$H$5,($E$5/$H$5),0)</f>
        <v>18549.657142857144</v>
      </c>
      <c r="D56" s="594">
        <f t="shared" si="15"/>
        <v>5649.6571428571433</v>
      </c>
      <c r="E56" s="594">
        <f t="shared" si="15"/>
        <v>5649.6571428571433</v>
      </c>
      <c r="F56" s="594">
        <f t="shared" si="15"/>
        <v>5649.6571428571433</v>
      </c>
      <c r="G56" s="594">
        <f t="shared" si="15"/>
        <v>5649.6571428571433</v>
      </c>
      <c r="H56" s="594">
        <f t="shared" si="15"/>
        <v>5649.6571428571433</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Helix</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6060</v>
      </c>
      <c r="B4" s="4770"/>
      <c r="C4" s="1476"/>
      <c r="D4" s="4770" t="s">
        <v>6061</v>
      </c>
      <c r="E4" s="4770"/>
      <c r="F4" s="523"/>
      <c r="G4" s="4770" t="s">
        <v>6062</v>
      </c>
      <c r="H4" s="4770"/>
      <c r="I4" s="523"/>
      <c r="J4" s="4770" t="s">
        <v>6177</v>
      </c>
      <c r="K4" s="4770"/>
    </row>
    <row r="5" spans="1:11" ht="25.9" customHeight="1">
      <c r="A5" s="4771" t="str">
        <f>'Part II-Sources of Funds'!E40</f>
        <v>Bellwether Enterprise</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42702.769000019442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42702.769000019442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42702.769000019442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42702.769000019442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42702.769000019442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42702.769000019442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42702.769000019442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42702.769000019442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42702.769000019442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42702.769000019442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42702.769000019442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42702.769000019442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42702.769000019442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42702.769000019442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42702.769000019442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42702.769000019442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42702.769000019442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42702.769000019442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42702.769000019442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42702.769000019442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42702.769000019442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42702.769000019442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42702.769000019442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42702.769000019442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42702.769000019442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42702.769000019442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42702.769000019442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42702.769000019442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42702.769000019442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42702.769000019442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42702.769000019442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42702.769000019442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42702.769000019442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42702.769000019442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42702.769000019442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Helix</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3463</v>
      </c>
      <c r="E11" s="4774"/>
      <c r="F11" s="4774"/>
      <c r="G11" s="4774"/>
      <c r="H11" s="4774"/>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Helix</v>
      </c>
    </row>
    <row r="16" spans="1:11" ht="12" customHeight="1">
      <c r="C16" s="432" t="s">
        <v>2744</v>
      </c>
      <c r="E16" s="4774"/>
      <c r="F16" s="4774"/>
      <c r="G16" s="4774"/>
      <c r="H16" s="4774"/>
    </row>
    <row r="17" spans="1:8" ht="12" customHeight="1">
      <c r="E17" s="438" t="str">
        <f>'Part I-Project Identification'!$F$26</f>
        <v>Riverdale</v>
      </c>
      <c r="F17" s="609" t="s">
        <v>791</v>
      </c>
      <c r="G17" s="4773" t="s">
        <v>6750</v>
      </c>
      <c r="H17" s="4773"/>
    </row>
    <row r="18" spans="1:8" ht="12" customHeight="1">
      <c r="E18" s="620" t="str">
        <f>(CONCATENATE('Part I-Project Identification'!$J$26," County"))</f>
        <v>Clayton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3459</v>
      </c>
      <c r="E23" s="1991"/>
    </row>
    <row r="24" spans="1:8" ht="12" customHeight="1">
      <c r="C24" s="432" t="s">
        <v>3462</v>
      </c>
      <c r="E24" s="1991"/>
    </row>
    <row r="25" spans="1:8" ht="12" customHeight="1">
      <c r="C25" s="432" t="s">
        <v>3463</v>
      </c>
      <c r="E25" s="4774"/>
      <c r="F25" s="4774"/>
      <c r="G25" s="4774"/>
      <c r="H25" s="477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14375000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3465</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2">
        <f>'Sensitivity Analysis'!C13</f>
        <v>90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4980362.7438027291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511662</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127723</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9" t="s">
        <v>2960</v>
      </c>
      <c r="B1" s="4789"/>
      <c r="C1" s="4789"/>
      <c r="D1" s="4789"/>
      <c r="E1" s="4789"/>
      <c r="F1" s="4789"/>
      <c r="G1" s="4789"/>
      <c r="H1" s="4789"/>
      <c r="I1" s="4789"/>
      <c r="J1" s="4789"/>
    </row>
    <row r="2" spans="1:13" ht="15">
      <c r="A2" s="4789" t="str">
        <f>'Sensitivity Analysis'!E8&amp;"  "&amp;'Sensitivity Analysis'!C8</f>
        <v>2023-0  Helix</v>
      </c>
      <c r="B2" s="4789"/>
      <c r="C2" s="4789"/>
      <c r="D2" s="4789"/>
      <c r="E2" s="4789"/>
      <c r="F2" s="4789"/>
      <c r="G2" s="4789"/>
      <c r="H2" s="4789"/>
      <c r="I2" s="4789"/>
      <c r="J2" s="4789"/>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Helix</v>
      </c>
      <c r="I28" s="560"/>
    </row>
    <row r="29" spans="1:9" ht="3" customHeight="1">
      <c r="C29" s="613"/>
      <c r="I29" s="560"/>
    </row>
    <row r="30" spans="1:9" ht="12" customHeight="1">
      <c r="A30" s="432" t="s">
        <v>2791</v>
      </c>
      <c r="C30" s="613">
        <f>'Preview term'!E16</f>
        <v>0</v>
      </c>
      <c r="I30" s="560"/>
    </row>
    <row r="31" spans="1:9">
      <c r="C31" s="560" t="str">
        <f>'Preview term'!E17</f>
        <v>Riverdale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10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6165</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3108</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Clayton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3109</v>
      </c>
      <c r="E53" s="4782"/>
      <c r="F53" s="4782"/>
      <c r="G53" s="4782"/>
      <c r="H53" s="4782"/>
      <c r="I53" s="4782"/>
      <c r="J53" s="4782"/>
    </row>
    <row r="54" spans="1:10" ht="12" customHeight="1">
      <c r="A54" s="617"/>
      <c r="B54" s="617"/>
      <c r="C54" s="617"/>
      <c r="D54" s="619" t="s">
        <v>3110</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14375000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4980362.7438027291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FNB South</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Bellwether Enterprise</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5"/>
      <c r="E107" s="4785"/>
      <c r="F107" s="4785"/>
      <c r="G107" s="4785"/>
      <c r="H107" s="4785"/>
      <c r="I107" s="4785"/>
      <c r="J107" s="478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8" t="s">
        <v>6169</v>
      </c>
      <c r="F120" s="4788"/>
      <c r="G120" s="4788"/>
      <c r="H120" s="4788"/>
      <c r="I120" s="4788"/>
      <c r="J120" s="4788"/>
    </row>
    <row r="121" spans="1:10" ht="12" customHeight="1">
      <c r="C121" s="560" t="s">
        <v>2842</v>
      </c>
      <c r="D121" s="996"/>
      <c r="E121" s="4788"/>
      <c r="F121" s="4788"/>
      <c r="G121" s="4788"/>
      <c r="H121" s="4788"/>
      <c r="I121" s="4788"/>
      <c r="J121" s="4788"/>
    </row>
    <row r="122" spans="1:10" ht="12" customHeight="1">
      <c r="C122" s="560" t="s">
        <v>2843</v>
      </c>
      <c r="D122" s="996"/>
      <c r="E122" s="4788"/>
      <c r="F122" s="4788"/>
      <c r="G122" s="4788"/>
      <c r="H122" s="4788"/>
      <c r="I122" s="4788"/>
      <c r="J122" s="4788"/>
    </row>
    <row r="123" spans="1:10" ht="12" customHeight="1">
      <c r="C123" s="560" t="s">
        <v>2843</v>
      </c>
      <c r="D123" s="996"/>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938597</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79"/>
      <c r="F166" s="4779"/>
      <c r="G166" s="4779"/>
      <c r="I166" s="560"/>
    </row>
    <row r="167" spans="1:9" ht="3" customHeight="1">
      <c r="E167" s="560"/>
      <c r="G167" s="560"/>
      <c r="I167" s="560"/>
    </row>
    <row r="168" spans="1:9" ht="12" customHeight="1">
      <c r="A168" s="432" t="s">
        <v>2866</v>
      </c>
      <c r="C168" s="432" t="s">
        <v>2867</v>
      </c>
      <c r="E168" s="632">
        <f>'Preview term'!F74</f>
        <v>511662</v>
      </c>
      <c r="G168" s="560"/>
      <c r="I168" s="560"/>
    </row>
    <row r="169" spans="1:9" ht="12" customHeight="1">
      <c r="C169" s="432" t="s">
        <v>3115</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22500</v>
      </c>
      <c r="F174" s="560" t="s">
        <v>2871</v>
      </c>
    </row>
    <row r="175" spans="1:9">
      <c r="E175" s="632">
        <f>E174/12</f>
        <v>1875</v>
      </c>
      <c r="F175" s="560" t="s">
        <v>2736</v>
      </c>
    </row>
    <row r="176" spans="1:9" ht="12" customHeight="1">
      <c r="C176" s="432" t="s">
        <v>3116</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127723</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5">
      <c r="A204" s="522" t="s">
        <v>6153</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6156</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27" t="str">
        <f>'Part I-Project Identification'!F25</f>
        <v>Helix</v>
      </c>
      <c r="E3" s="4128"/>
      <c r="F3" s="4128"/>
      <c r="G3" s="4128"/>
      <c r="H3" s="4128"/>
      <c r="I3" s="4128"/>
      <c r="J3" s="4795" t="s">
        <v>3970</v>
      </c>
      <c r="K3" s="4796"/>
    </row>
    <row r="4" spans="1:11" ht="15" customHeight="1">
      <c r="A4" s="1332" t="s">
        <v>3968</v>
      </c>
      <c r="B4" s="1333"/>
      <c r="C4" s="1334"/>
      <c r="D4" s="4791">
        <f>'Preview term'!$E$16</f>
        <v>0</v>
      </c>
      <c r="E4" s="4792"/>
      <c r="F4" s="4792"/>
      <c r="G4" s="4792"/>
      <c r="H4" s="4792"/>
      <c r="I4" s="4792"/>
      <c r="J4" s="4133" t="s">
        <v>4009</v>
      </c>
      <c r="K4" s="4134"/>
    </row>
    <row r="5" spans="1:11" ht="15" customHeight="1" thickBot="1">
      <c r="A5" s="1335" t="s">
        <v>3969</v>
      </c>
      <c r="B5" s="1336"/>
      <c r="C5" s="1337"/>
      <c r="D5" s="4793"/>
      <c r="E5" s="4794"/>
      <c r="F5" s="4794"/>
      <c r="G5" s="4794"/>
      <c r="H5" s="4794"/>
      <c r="I5" s="4794"/>
      <c r="J5" s="4135"/>
      <c r="K5" s="4136"/>
    </row>
    <row r="6" spans="1:11" ht="9" customHeight="1" thickBot="1">
      <c r="E6" s="1327"/>
    </row>
    <row r="7" spans="1:11">
      <c r="A7" s="4119" t="s">
        <v>3971</v>
      </c>
      <c r="B7" s="4120"/>
      <c r="C7" s="4120"/>
      <c r="D7" s="4120"/>
      <c r="E7" s="4120"/>
      <c r="F7" s="4120"/>
      <c r="G7" s="4120"/>
      <c r="H7" s="4120"/>
      <c r="I7" s="4120"/>
      <c r="J7" s="4120"/>
      <c r="K7" s="4121"/>
    </row>
    <row r="8" spans="1:11" ht="14.25" customHeight="1">
      <c r="A8" s="1333"/>
      <c r="B8" s="1333"/>
      <c r="C8" s="1365">
        <v>1</v>
      </c>
      <c r="D8" s="1352" t="s">
        <v>3972</v>
      </c>
      <c r="E8" s="1352"/>
      <c r="F8" s="1352"/>
      <c r="G8" s="1352"/>
      <c r="H8" s="1352"/>
      <c r="I8" s="1352"/>
      <c r="J8" s="4818"/>
      <c r="K8" s="4819"/>
    </row>
    <row r="9" spans="1:11" ht="7.15" customHeight="1">
      <c r="A9" s="4122"/>
      <c r="B9" s="4122"/>
      <c r="C9" s="4122"/>
      <c r="D9" s="4123"/>
      <c r="E9" s="4123"/>
      <c r="F9" s="4123"/>
      <c r="G9" s="4123"/>
      <c r="H9" s="4123"/>
      <c r="I9" s="4123"/>
      <c r="J9" s="4123"/>
      <c r="K9" s="1353"/>
    </row>
    <row r="10" spans="1:11">
      <c r="A10" s="4124" t="s">
        <v>3973</v>
      </c>
      <c r="B10" s="4125"/>
      <c r="C10" s="4125"/>
      <c r="D10" s="4125"/>
      <c r="E10" s="4125"/>
      <c r="F10" s="4125"/>
      <c r="G10" s="4125"/>
      <c r="H10" s="4125"/>
      <c r="I10" s="4125"/>
      <c r="J10" s="4125"/>
      <c r="K10" s="4126"/>
    </row>
    <row r="11" spans="1:11" ht="14.25" customHeight="1">
      <c r="A11" s="1333"/>
      <c r="B11" s="1333"/>
      <c r="C11" s="1365">
        <v>2</v>
      </c>
      <c r="D11" s="1352" t="s">
        <v>3974</v>
      </c>
      <c r="E11" s="1354"/>
      <c r="F11" s="1354"/>
      <c r="G11" s="1354"/>
      <c r="H11" s="1354"/>
      <c r="I11" s="1354"/>
      <c r="J11" s="4816"/>
      <c r="K11" s="4817"/>
    </row>
    <row r="12" spans="1:11" ht="7.15" customHeight="1">
      <c r="A12" s="4122"/>
      <c r="B12" s="4122"/>
      <c r="C12" s="4122"/>
      <c r="D12" s="4123"/>
      <c r="E12" s="4123"/>
      <c r="F12" s="4123"/>
      <c r="G12" s="4123"/>
      <c r="H12" s="4123"/>
      <c r="I12" s="4123"/>
      <c r="J12" s="4123"/>
      <c r="K12" s="1355"/>
    </row>
    <row r="13" spans="1:11">
      <c r="A13" s="4124" t="s">
        <v>3975</v>
      </c>
      <c r="B13" s="4125"/>
      <c r="C13" s="4125"/>
      <c r="D13" s="4125"/>
      <c r="E13" s="4125"/>
      <c r="F13" s="4125"/>
      <c r="G13" s="4125"/>
      <c r="H13" s="4125"/>
      <c r="I13" s="4125"/>
      <c r="J13" s="4125"/>
      <c r="K13" s="4126"/>
    </row>
    <row r="14" spans="1:11" ht="14.25" customHeight="1">
      <c r="A14" s="1333"/>
      <c r="B14" s="1333"/>
      <c r="C14" s="1366">
        <v>3</v>
      </c>
      <c r="D14" s="1356" t="s">
        <v>3976</v>
      </c>
      <c r="E14" s="1356"/>
      <c r="F14" s="1356"/>
      <c r="G14" s="1356"/>
      <c r="H14" s="1356"/>
      <c r="I14" s="1356"/>
      <c r="J14" s="4814"/>
      <c r="K14" s="4815"/>
    </row>
    <row r="15" spans="1:11" ht="14.25" customHeight="1">
      <c r="A15" s="1333"/>
      <c r="B15" s="1333"/>
      <c r="C15" s="1367">
        <v>4</v>
      </c>
      <c r="D15" s="1333" t="s">
        <v>3977</v>
      </c>
      <c r="E15" s="1333"/>
      <c r="F15" s="1333"/>
      <c r="G15" s="1333"/>
      <c r="H15" s="1333"/>
      <c r="I15" s="1333"/>
      <c r="J15" s="4812"/>
      <c r="K15" s="4813"/>
    </row>
    <row r="16" spans="1:11" ht="14.25" customHeight="1">
      <c r="A16" s="1333"/>
      <c r="B16" s="1333"/>
      <c r="C16" s="1367">
        <v>5</v>
      </c>
      <c r="D16" s="1333" t="s">
        <v>3978</v>
      </c>
      <c r="E16" s="1333"/>
      <c r="F16" s="1333"/>
      <c r="G16" s="1333"/>
      <c r="H16" s="1333"/>
      <c r="I16" s="1333"/>
      <c r="J16" s="4812"/>
      <c r="K16" s="4813"/>
    </row>
    <row r="17" spans="1:13" ht="14.25" customHeight="1">
      <c r="A17" s="1333"/>
      <c r="B17" s="1333"/>
      <c r="C17" s="1368">
        <v>6</v>
      </c>
      <c r="D17" s="1336" t="s">
        <v>3979</v>
      </c>
      <c r="E17" s="1336"/>
      <c r="F17" s="1336"/>
      <c r="G17" s="1336"/>
      <c r="H17" s="1336"/>
      <c r="I17" s="1336"/>
      <c r="J17" s="4820"/>
      <c r="K17" s="482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3980</v>
      </c>
      <c r="E19" s="1356"/>
      <c r="F19" s="1356"/>
      <c r="G19" s="1356"/>
      <c r="H19" s="1356"/>
      <c r="I19" s="1356"/>
      <c r="J19" s="4186" t="str">
        <f>IF(J17="No",J14-J15,IF(J17="Yes",J14-J15-J16,"Error"))</f>
        <v>Error</v>
      </c>
      <c r="K19" s="4187"/>
    </row>
    <row r="20" spans="1:13" ht="14.25" customHeight="1">
      <c r="A20" s="1333"/>
      <c r="B20" s="1333"/>
      <c r="C20" s="1368">
        <v>8</v>
      </c>
      <c r="D20" s="1336" t="s">
        <v>3981</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3982</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4013</v>
      </c>
      <c r="B30" s="4145"/>
      <c r="C30" s="4145"/>
      <c r="D30" s="4145"/>
      <c r="E30" s="4145"/>
      <c r="F30" s="4145"/>
      <c r="G30" s="4145"/>
      <c r="H30" s="4145"/>
      <c r="I30" s="4145"/>
      <c r="J30" s="4145"/>
      <c r="K30" s="4146"/>
    </row>
    <row r="31" spans="1:13">
      <c r="B31" s="4807" t="s">
        <v>3970</v>
      </c>
      <c r="C31" s="4807"/>
      <c r="D31" s="4807"/>
      <c r="E31" s="4807"/>
      <c r="F31" s="4807"/>
      <c r="G31" s="4148" t="s">
        <v>3984</v>
      </c>
      <c r="H31" s="4149"/>
      <c r="I31" s="4149"/>
      <c r="J31" s="4149"/>
      <c r="K31" s="4150"/>
    </row>
    <row r="32" spans="1:13" ht="56.25" customHeight="1">
      <c r="A32" s="1351"/>
      <c r="B32" s="1369" t="s">
        <v>4012</v>
      </c>
      <c r="C32" s="1370" t="s">
        <v>4008</v>
      </c>
      <c r="D32" s="1370" t="s">
        <v>4007</v>
      </c>
      <c r="E32" s="4151" t="s">
        <v>6098</v>
      </c>
      <c r="F32" s="4152"/>
      <c r="G32" s="1371" t="s">
        <v>3985</v>
      </c>
      <c r="H32" s="1371" t="s">
        <v>3986</v>
      </c>
      <c r="J32" s="1371" t="s">
        <v>3987</v>
      </c>
      <c r="K32" s="1371" t="s">
        <v>3988</v>
      </c>
      <c r="L32" s="4139" t="s">
        <v>3989</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3990</v>
      </c>
      <c r="H52" s="1372" t="e">
        <f>SUM(H33:H51)</f>
        <v>#VALUE!</v>
      </c>
      <c r="I52" s="1356"/>
      <c r="J52" s="1362" t="s">
        <v>3991</v>
      </c>
      <c r="K52" s="1358" t="e">
        <f>SUM(K33:K51)</f>
        <v>#VALUE!</v>
      </c>
      <c r="L52" s="4139"/>
      <c r="M52" s="4139"/>
    </row>
    <row r="53" spans="1:13" ht="15" customHeight="1">
      <c r="B53" s="1363"/>
      <c r="C53" s="4158" t="s">
        <v>3992</v>
      </c>
      <c r="D53" s="4158"/>
      <c r="E53" s="4158"/>
      <c r="F53" s="4158"/>
      <c r="G53" s="4158"/>
      <c r="H53" s="4158"/>
      <c r="I53" s="4158"/>
      <c r="J53" s="4159"/>
      <c r="K53" s="1364" t="str">
        <f>IF(J17="no",0,IF(J17="yes",J16,"Error"))</f>
        <v>Error</v>
      </c>
      <c r="L53" s="4139"/>
      <c r="M53" s="4139"/>
    </row>
    <row r="54" spans="1:13" ht="15" customHeight="1" thickBot="1">
      <c r="B54" s="1363"/>
      <c r="C54" s="4160" t="s">
        <v>3993</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4" t="s">
        <v>4011</v>
      </c>
      <c r="F57" s="4165"/>
      <c r="G57" s="4803" t="s">
        <v>3996</v>
      </c>
      <c r="H57" s="4804"/>
      <c r="I57" s="4164" t="s">
        <v>4010</v>
      </c>
      <c r="J57" s="4165"/>
      <c r="K57" s="4168"/>
    </row>
    <row r="58" spans="1:13" ht="15" customHeight="1">
      <c r="A58" s="1465"/>
      <c r="B58" s="1381"/>
      <c r="C58" s="1359">
        <f>SUMIF(C33:C51, "0", H33:H51)</f>
        <v>0</v>
      </c>
      <c r="D58" s="1484">
        <f t="shared" ref="D58:D63" si="4">ROUNDUP(C58*1.1,0)</f>
        <v>0</v>
      </c>
      <c r="E58" s="4170" t="s">
        <v>3997</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2462</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2463</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2466</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3998</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3999</v>
      </c>
      <c r="F63" s="4180"/>
      <c r="G63" s="4808">
        <f>'DCA Underwriting Assumptions'!H133</f>
        <v>316236</v>
      </c>
      <c r="H63" s="4809"/>
      <c r="I63" s="4181">
        <f t="shared" si="5"/>
        <v>0</v>
      </c>
      <c r="J63" s="4181"/>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63"/>
      <c r="B65" s="4163"/>
      <c r="C65" s="4163"/>
      <c r="D65" s="4163"/>
      <c r="E65" s="4163"/>
      <c r="F65" s="4163"/>
      <c r="G65" s="4163"/>
      <c r="H65" s="4163"/>
      <c r="I65" s="4163"/>
      <c r="J65" s="4163"/>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78" t="s">
        <v>4006</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Helix</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100402.66980000002</v>
      </c>
      <c r="K4" s="1008" t="s">
        <v>3663</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18006410</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4080</v>
      </c>
      <c r="B23" s="4828"/>
      <c r="C23" s="4828"/>
      <c r="D23" s="4828"/>
      <c r="E23" s="4828"/>
      <c r="F23" s="4828"/>
      <c r="G23" s="4828"/>
      <c r="H23" s="4828"/>
    </row>
    <row r="24" spans="1:8" ht="9" customHeight="1" thickBot="1">
      <c r="A24" s="611"/>
    </row>
    <row r="25" spans="1:8" ht="16.149999999999999" customHeight="1" thickBot="1">
      <c r="A25" s="4829">
        <v>20</v>
      </c>
      <c r="B25" s="4830"/>
      <c r="C25" s="1451" t="s">
        <v>975</v>
      </c>
    </row>
    <row r="26" spans="1:8" ht="9" customHeight="1">
      <c r="A26" s="611"/>
    </row>
    <row r="27" spans="1:8" ht="28.15" customHeight="1">
      <c r="A27" s="4822" t="s">
        <v>4085</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4083</v>
      </c>
      <c r="E33" s="4822" t="s">
        <v>3121</v>
      </c>
      <c r="F33" s="4822"/>
      <c r="G33" s="4822"/>
      <c r="H33" s="4822"/>
    </row>
    <row r="34" spans="1:11" ht="12.75" customHeight="1">
      <c r="C34" s="1450"/>
      <c r="D34" s="1448" t="s">
        <v>2984</v>
      </c>
      <c r="E34" s="4823" t="s">
        <v>3122</v>
      </c>
      <c r="F34" s="4823"/>
      <c r="G34" s="4823"/>
      <c r="H34" s="482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4083</v>
      </c>
      <c r="E38" s="4822" t="s">
        <v>3121</v>
      </c>
      <c r="F38" s="4822"/>
      <c r="G38" s="4822"/>
      <c r="H38" s="4822"/>
    </row>
    <row r="39" spans="1:11" ht="12.75" customHeight="1">
      <c r="C39" s="1450"/>
      <c r="D39" s="1448" t="s">
        <v>2984</v>
      </c>
      <c r="E39" s="4823" t="s">
        <v>3122</v>
      </c>
      <c r="F39" s="4823"/>
      <c r="G39" s="4823"/>
      <c r="H39" s="482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4083</v>
      </c>
      <c r="E43" s="4822" t="s">
        <v>3121</v>
      </c>
      <c r="F43" s="4822"/>
      <c r="G43" s="4822"/>
      <c r="H43" s="4822"/>
    </row>
    <row r="44" spans="1:11" ht="12.75" customHeight="1">
      <c r="C44" s="1450"/>
      <c r="D44" s="1448" t="s">
        <v>2984</v>
      </c>
      <c r="E44" s="4823" t="s">
        <v>3122</v>
      </c>
      <c r="F44" s="4823"/>
      <c r="G44" s="4823"/>
      <c r="H44" s="482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4083</v>
      </c>
      <c r="E50" s="4822" t="s">
        <v>3121</v>
      </c>
      <c r="F50" s="4822"/>
      <c r="G50" s="4822"/>
      <c r="H50" s="4822"/>
    </row>
    <row r="51" spans="1:11" ht="12.75" customHeight="1">
      <c r="C51" s="1450"/>
      <c r="D51" s="642" t="s">
        <v>2984</v>
      </c>
      <c r="E51" s="4822" t="s">
        <v>3122</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4083</v>
      </c>
      <c r="E55" s="4822" t="s">
        <v>3121</v>
      </c>
      <c r="F55" s="4822"/>
      <c r="G55" s="4822"/>
      <c r="H55" s="4822"/>
    </row>
    <row r="56" spans="1:11" ht="12.75" customHeight="1">
      <c r="C56" s="1450"/>
      <c r="D56" s="1448" t="s">
        <v>2984</v>
      </c>
      <c r="E56" s="4823" t="s">
        <v>3122</v>
      </c>
      <c r="F56" s="4823"/>
      <c r="G56" s="4823"/>
      <c r="H56" s="482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4083</v>
      </c>
      <c r="E60" s="4822" t="s">
        <v>3121</v>
      </c>
      <c r="F60" s="4822"/>
      <c r="G60" s="4822"/>
      <c r="H60" s="4822"/>
    </row>
    <row r="61" spans="1:11" ht="12.75" customHeight="1">
      <c r="C61" s="1450"/>
      <c r="D61" s="1448" t="s">
        <v>2984</v>
      </c>
      <c r="E61" s="4823" t="s">
        <v>3122</v>
      </c>
      <c r="F61" s="4823"/>
      <c r="G61" s="4823"/>
      <c r="H61" s="482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4083</v>
      </c>
      <c r="E67" s="4822" t="s">
        <v>3121</v>
      </c>
      <c r="F67" s="4822"/>
      <c r="G67" s="4822"/>
      <c r="H67" s="4822"/>
    </row>
    <row r="68" spans="1:8" ht="12.75" customHeight="1">
      <c r="C68" s="1450"/>
      <c r="D68" s="642" t="s">
        <v>2984</v>
      </c>
      <c r="E68" s="4822" t="s">
        <v>3122</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4083</v>
      </c>
      <c r="E72" s="4822" t="s">
        <v>3121</v>
      </c>
      <c r="F72" s="4822"/>
      <c r="G72" s="4822"/>
      <c r="H72" s="4822"/>
    </row>
    <row r="73" spans="1:8" ht="12.75" customHeight="1">
      <c r="C73" s="1450"/>
      <c r="D73" s="1448" t="s">
        <v>2984</v>
      </c>
      <c r="E73" s="4823" t="s">
        <v>3122</v>
      </c>
      <c r="F73" s="4823"/>
      <c r="G73" s="4823"/>
      <c r="H73" s="482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4083</v>
      </c>
      <c r="E77" s="4822" t="s">
        <v>3121</v>
      </c>
      <c r="F77" s="4822"/>
      <c r="G77" s="4822"/>
      <c r="H77" s="4822"/>
    </row>
    <row r="78" spans="1:8" ht="12.75" customHeight="1">
      <c r="C78" s="1450"/>
      <c r="D78" s="1448" t="s">
        <v>2984</v>
      </c>
      <c r="E78" s="4823" t="s">
        <v>3122</v>
      </c>
      <c r="F78" s="4823"/>
      <c r="G78" s="4823"/>
      <c r="H78" s="4823"/>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4083</v>
      </c>
      <c r="E84" s="4822" t="s">
        <v>3121</v>
      </c>
      <c r="F84" s="4822"/>
      <c r="G84" s="4822"/>
      <c r="H84" s="4822"/>
    </row>
    <row r="85" spans="3:8" ht="12.75" customHeight="1">
      <c r="C85" s="1450"/>
      <c r="D85" s="642" t="s">
        <v>2984</v>
      </c>
      <c r="E85" s="4822" t="s">
        <v>3122</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4083</v>
      </c>
      <c r="E89" s="4822" t="s">
        <v>3121</v>
      </c>
      <c r="F89" s="4822"/>
      <c r="G89" s="4822"/>
      <c r="H89" s="4822"/>
    </row>
    <row r="90" spans="3:8" ht="12.75" customHeight="1">
      <c r="C90" s="1450"/>
      <c r="D90" s="1448" t="s">
        <v>2984</v>
      </c>
      <c r="E90" s="4823" t="s">
        <v>3122</v>
      </c>
      <c r="F90" s="4823"/>
      <c r="G90" s="4823"/>
      <c r="H90" s="482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4083</v>
      </c>
      <c r="E94" s="4822" t="s">
        <v>3121</v>
      </c>
      <c r="F94" s="4822"/>
      <c r="G94" s="4822"/>
      <c r="H94" s="4822"/>
    </row>
    <row r="95" spans="3:8" ht="12.75" customHeight="1">
      <c r="C95" s="1450"/>
      <c r="D95" s="1448" t="s">
        <v>2984</v>
      </c>
      <c r="E95" s="4823" t="s">
        <v>3122</v>
      </c>
      <c r="F95" s="4823"/>
      <c r="G95" s="4823"/>
      <c r="H95" s="4823"/>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149999999999999" customHeight="1" thickBot="1">
      <c r="A104" s="4829">
        <v>30</v>
      </c>
      <c r="B104" s="4830"/>
      <c r="C104" s="1451" t="s">
        <v>975</v>
      </c>
    </row>
    <row r="105" spans="1:11" ht="9" customHeight="1">
      <c r="A105" s="611"/>
    </row>
    <row r="106" spans="1:11" ht="28.15" customHeight="1">
      <c r="A106" s="4822" t="s">
        <v>4086</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4083</v>
      </c>
      <c r="E112" s="4822" t="s">
        <v>3121</v>
      </c>
      <c r="F112" s="4822"/>
      <c r="G112" s="4822"/>
      <c r="H112" s="4822"/>
    </row>
    <row r="113" spans="1:8" ht="12.75" customHeight="1">
      <c r="C113" s="1450"/>
      <c r="D113" s="1448" t="s">
        <v>2984</v>
      </c>
      <c r="E113" s="4823" t="s">
        <v>3122</v>
      </c>
      <c r="F113" s="4823"/>
      <c r="G113" s="4823"/>
      <c r="H113" s="482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4083</v>
      </c>
      <c r="E117" s="4822" t="s">
        <v>3121</v>
      </c>
      <c r="F117" s="4822"/>
      <c r="G117" s="4822"/>
      <c r="H117" s="4822"/>
    </row>
    <row r="118" spans="1:8" ht="12.75" customHeight="1">
      <c r="C118" s="1450"/>
      <c r="D118" s="1448" t="s">
        <v>2984</v>
      </c>
      <c r="E118" s="4823" t="s">
        <v>3122</v>
      </c>
      <c r="F118" s="4823"/>
      <c r="G118" s="4823"/>
      <c r="H118" s="482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4083</v>
      </c>
      <c r="E122" s="4822" t="s">
        <v>3121</v>
      </c>
      <c r="F122" s="4822"/>
      <c r="G122" s="4822"/>
      <c r="H122" s="4822"/>
    </row>
    <row r="123" spans="1:8" ht="12.75" customHeight="1">
      <c r="C123" s="1450"/>
      <c r="D123" s="1448" t="s">
        <v>2984</v>
      </c>
      <c r="E123" s="4823" t="s">
        <v>3122</v>
      </c>
      <c r="F123" s="4823"/>
      <c r="G123" s="4823"/>
      <c r="H123" s="482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4083</v>
      </c>
      <c r="E129" s="4822" t="s">
        <v>3121</v>
      </c>
      <c r="F129" s="4822"/>
      <c r="G129" s="4822"/>
      <c r="H129" s="4822"/>
    </row>
    <row r="130" spans="1:8" ht="12.75" customHeight="1">
      <c r="C130" s="1450"/>
      <c r="D130" s="642" t="s">
        <v>2984</v>
      </c>
      <c r="E130" s="4822" t="s">
        <v>3122</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4083</v>
      </c>
      <c r="E134" s="4822" t="s">
        <v>3121</v>
      </c>
      <c r="F134" s="4822"/>
      <c r="G134" s="4822"/>
      <c r="H134" s="4822"/>
    </row>
    <row r="135" spans="1:8" ht="12.75" customHeight="1">
      <c r="C135" s="1450"/>
      <c r="D135" s="1448" t="s">
        <v>2984</v>
      </c>
      <c r="E135" s="4823" t="s">
        <v>3122</v>
      </c>
      <c r="F135" s="4823"/>
      <c r="G135" s="4823"/>
      <c r="H135" s="482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4083</v>
      </c>
      <c r="E139" s="4822" t="s">
        <v>3121</v>
      </c>
      <c r="F139" s="4822"/>
      <c r="G139" s="4822"/>
      <c r="H139" s="4822"/>
    </row>
    <row r="140" spans="1:8" ht="12.75" customHeight="1">
      <c r="C140" s="1450"/>
      <c r="D140" s="1448" t="s">
        <v>2984</v>
      </c>
      <c r="E140" s="4823" t="s">
        <v>3122</v>
      </c>
      <c r="F140" s="4823"/>
      <c r="G140" s="4823"/>
      <c r="H140" s="482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4083</v>
      </c>
      <c r="E146" s="4822" t="s">
        <v>3121</v>
      </c>
      <c r="F146" s="4822"/>
      <c r="G146" s="4822"/>
      <c r="H146" s="4822"/>
    </row>
    <row r="147" spans="1:8" ht="12.75" customHeight="1">
      <c r="C147" s="1450"/>
      <c r="D147" s="642" t="s">
        <v>2984</v>
      </c>
      <c r="E147" s="4822" t="s">
        <v>3122</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4083</v>
      </c>
      <c r="E151" s="4822" t="s">
        <v>3121</v>
      </c>
      <c r="F151" s="4822"/>
      <c r="G151" s="4822"/>
      <c r="H151" s="4822"/>
    </row>
    <row r="152" spans="1:8" ht="12.75" customHeight="1">
      <c r="C152" s="1450"/>
      <c r="D152" s="1448" t="s">
        <v>2984</v>
      </c>
      <c r="E152" s="4823" t="s">
        <v>3122</v>
      </c>
      <c r="F152" s="4823"/>
      <c r="G152" s="4823"/>
      <c r="H152" s="482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4083</v>
      </c>
      <c r="E156" s="4822" t="s">
        <v>3121</v>
      </c>
      <c r="F156" s="4822"/>
      <c r="G156" s="4822"/>
      <c r="H156" s="4822"/>
    </row>
    <row r="157" spans="1:8" ht="12.75" customHeight="1">
      <c r="C157" s="1450"/>
      <c r="D157" s="1448" t="s">
        <v>2984</v>
      </c>
      <c r="E157" s="4823" t="s">
        <v>3122</v>
      </c>
      <c r="F157" s="4823"/>
      <c r="G157" s="4823"/>
      <c r="H157" s="482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4083</v>
      </c>
      <c r="E163" s="4822" t="s">
        <v>3121</v>
      </c>
      <c r="F163" s="4822"/>
      <c r="G163" s="4822"/>
      <c r="H163" s="4822"/>
    </row>
    <row r="164" spans="1:8" ht="12.75" customHeight="1">
      <c r="C164" s="1450"/>
      <c r="D164" s="642" t="s">
        <v>2984</v>
      </c>
      <c r="E164" s="4822" t="s">
        <v>3122</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4083</v>
      </c>
      <c r="E168" s="4822" t="s">
        <v>3121</v>
      </c>
      <c r="F168" s="4822"/>
      <c r="G168" s="4822"/>
      <c r="H168" s="4822"/>
    </row>
    <row r="169" spans="1:8" ht="12.75" customHeight="1">
      <c r="C169" s="1450"/>
      <c r="D169" s="1448" t="s">
        <v>2984</v>
      </c>
      <c r="E169" s="4823" t="s">
        <v>3122</v>
      </c>
      <c r="F169" s="4823"/>
      <c r="G169" s="4823"/>
      <c r="H169" s="482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4083</v>
      </c>
      <c r="E173" s="4822" t="s">
        <v>3121</v>
      </c>
      <c r="F173" s="4822"/>
      <c r="G173" s="4822"/>
      <c r="H173" s="4822"/>
    </row>
    <row r="174" spans="1:8" ht="12.75" customHeight="1">
      <c r="C174" s="1450"/>
      <c r="D174" s="1448" t="s">
        <v>2984</v>
      </c>
      <c r="E174" s="4823" t="s">
        <v>3122</v>
      </c>
      <c r="F174" s="4823"/>
      <c r="G174" s="4823"/>
      <c r="H174" s="4823"/>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149999999999999" customHeight="1" thickBot="1">
      <c r="A183" s="4829">
        <v>40</v>
      </c>
      <c r="B183" s="4830"/>
      <c r="C183" s="1451" t="s">
        <v>975</v>
      </c>
    </row>
    <row r="184" spans="1:11" ht="9" customHeight="1">
      <c r="A184" s="611"/>
    </row>
    <row r="185" spans="1:11" ht="28.15" customHeight="1">
      <c r="A185" s="4822" t="s">
        <v>4087</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4083</v>
      </c>
      <c r="E191" s="4822" t="s">
        <v>3121</v>
      </c>
      <c r="F191" s="4822"/>
      <c r="G191" s="4822"/>
      <c r="H191" s="4822"/>
    </row>
    <row r="192" spans="1:11" ht="12.75" customHeight="1">
      <c r="C192" s="1450"/>
      <c r="D192" s="1448" t="s">
        <v>2984</v>
      </c>
      <c r="E192" s="4823" t="s">
        <v>3122</v>
      </c>
      <c r="F192" s="4823"/>
      <c r="G192" s="4823"/>
      <c r="H192" s="482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4083</v>
      </c>
      <c r="E196" s="4822" t="s">
        <v>3121</v>
      </c>
      <c r="F196" s="4822"/>
      <c r="G196" s="4822"/>
      <c r="H196" s="4822"/>
    </row>
    <row r="197" spans="1:8" ht="12.75" customHeight="1">
      <c r="C197" s="1450"/>
      <c r="D197" s="1448" t="s">
        <v>2984</v>
      </c>
      <c r="E197" s="4823" t="s">
        <v>3122</v>
      </c>
      <c r="F197" s="4823"/>
      <c r="G197" s="4823"/>
      <c r="H197" s="482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4083</v>
      </c>
      <c r="E201" s="4822" t="s">
        <v>3121</v>
      </c>
      <c r="F201" s="4822"/>
      <c r="G201" s="4822"/>
      <c r="H201" s="4822"/>
    </row>
    <row r="202" spans="1:8" ht="12.75" customHeight="1">
      <c r="C202" s="1450"/>
      <c r="D202" s="1448" t="s">
        <v>2984</v>
      </c>
      <c r="E202" s="4823" t="s">
        <v>3122</v>
      </c>
      <c r="F202" s="4823"/>
      <c r="G202" s="4823"/>
      <c r="H202" s="482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4083</v>
      </c>
      <c r="E208" s="4822" t="s">
        <v>3121</v>
      </c>
      <c r="F208" s="4822"/>
      <c r="G208" s="4822"/>
      <c r="H208" s="4822"/>
    </row>
    <row r="209" spans="1:8" ht="12.75" customHeight="1">
      <c r="C209" s="1450"/>
      <c r="D209" s="642" t="s">
        <v>2984</v>
      </c>
      <c r="E209" s="4822" t="s">
        <v>3122</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4083</v>
      </c>
      <c r="E213" s="4822" t="s">
        <v>3121</v>
      </c>
      <c r="F213" s="4822"/>
      <c r="G213" s="4822"/>
      <c r="H213" s="4822"/>
    </row>
    <row r="214" spans="1:8" ht="12.75" customHeight="1">
      <c r="C214" s="1450"/>
      <c r="D214" s="1448" t="s">
        <v>2984</v>
      </c>
      <c r="E214" s="4823" t="s">
        <v>3122</v>
      </c>
      <c r="F214" s="4823"/>
      <c r="G214" s="4823"/>
      <c r="H214" s="482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4083</v>
      </c>
      <c r="E218" s="4822" t="s">
        <v>3121</v>
      </c>
      <c r="F218" s="4822"/>
      <c r="G218" s="4822"/>
      <c r="H218" s="4822"/>
    </row>
    <row r="219" spans="1:8" ht="12.75" customHeight="1">
      <c r="C219" s="1450"/>
      <c r="D219" s="1448" t="s">
        <v>2984</v>
      </c>
      <c r="E219" s="4823" t="s">
        <v>3122</v>
      </c>
      <c r="F219" s="4823"/>
      <c r="G219" s="4823"/>
      <c r="H219" s="482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4083</v>
      </c>
      <c r="E225" s="4822" t="s">
        <v>3121</v>
      </c>
      <c r="F225" s="4822"/>
      <c r="G225" s="4822"/>
      <c r="H225" s="4822"/>
    </row>
    <row r="226" spans="1:8" ht="12.75" customHeight="1">
      <c r="C226" s="1450"/>
      <c r="D226" s="642" t="s">
        <v>2984</v>
      </c>
      <c r="E226" s="4822" t="s">
        <v>3122</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4083</v>
      </c>
      <c r="E230" s="4822" t="s">
        <v>3121</v>
      </c>
      <c r="F230" s="4822"/>
      <c r="G230" s="4822"/>
      <c r="H230" s="4822"/>
    </row>
    <row r="231" spans="1:8" ht="12.75" customHeight="1">
      <c r="C231" s="1450"/>
      <c r="D231" s="1448" t="s">
        <v>2984</v>
      </c>
      <c r="E231" s="4823" t="s">
        <v>3122</v>
      </c>
      <c r="F231" s="4823"/>
      <c r="G231" s="4823"/>
      <c r="H231" s="482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4083</v>
      </c>
      <c r="E235" s="4822" t="s">
        <v>3121</v>
      </c>
      <c r="F235" s="4822"/>
      <c r="G235" s="4822"/>
      <c r="H235" s="4822"/>
    </row>
    <row r="236" spans="1:8" ht="12.75" customHeight="1">
      <c r="C236" s="1450"/>
      <c r="D236" s="1448" t="s">
        <v>2984</v>
      </c>
      <c r="E236" s="4823" t="s">
        <v>3122</v>
      </c>
      <c r="F236" s="4823"/>
      <c r="G236" s="4823"/>
      <c r="H236" s="482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4083</v>
      </c>
      <c r="E242" s="4822" t="s">
        <v>3121</v>
      </c>
      <c r="F242" s="4822"/>
      <c r="G242" s="4822"/>
      <c r="H242" s="4822"/>
    </row>
    <row r="243" spans="1:8" ht="12.75" customHeight="1">
      <c r="C243" s="1450"/>
      <c r="D243" s="642" t="s">
        <v>2984</v>
      </c>
      <c r="E243" s="4822" t="s">
        <v>3122</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4083</v>
      </c>
      <c r="E247" s="4822" t="s">
        <v>3121</v>
      </c>
      <c r="F247" s="4822"/>
      <c r="G247" s="4822"/>
      <c r="H247" s="4822"/>
    </row>
    <row r="248" spans="1:8" ht="12.75" customHeight="1">
      <c r="C248" s="1450"/>
      <c r="D248" s="1448" t="s">
        <v>2984</v>
      </c>
      <c r="E248" s="4823" t="s">
        <v>3122</v>
      </c>
      <c r="F248" s="4823"/>
      <c r="G248" s="4823"/>
      <c r="H248" s="482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4083</v>
      </c>
      <c r="E252" s="4822" t="s">
        <v>3121</v>
      </c>
      <c r="F252" s="4822"/>
      <c r="G252" s="4822"/>
      <c r="H252" s="4822"/>
    </row>
    <row r="253" spans="1:8" ht="12.75" customHeight="1">
      <c r="C253" s="1450"/>
      <c r="D253" s="1448" t="s">
        <v>2984</v>
      </c>
      <c r="E253" s="4823" t="s">
        <v>3122</v>
      </c>
      <c r="F253" s="4823"/>
      <c r="G253" s="4823"/>
      <c r="H253" s="4823"/>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149999999999999" customHeight="1" thickBot="1">
      <c r="A262" s="4829">
        <v>50</v>
      </c>
      <c r="B262" s="4830"/>
      <c r="C262" s="1451" t="s">
        <v>975</v>
      </c>
    </row>
    <row r="263" spans="1:11" ht="9" customHeight="1">
      <c r="A263" s="611"/>
    </row>
    <row r="264" spans="1:11" ht="28.15" customHeight="1">
      <c r="A264" s="4822" t="s">
        <v>4084</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4083</v>
      </c>
      <c r="E270" s="4822" t="s">
        <v>3121</v>
      </c>
      <c r="F270" s="4822"/>
      <c r="G270" s="4822"/>
      <c r="H270" s="4822"/>
    </row>
    <row r="271" spans="1:11" ht="12.75" customHeight="1">
      <c r="C271" s="1450"/>
      <c r="D271" s="1448" t="s">
        <v>2984</v>
      </c>
      <c r="E271" s="4823" t="s">
        <v>3122</v>
      </c>
      <c r="F271" s="4823"/>
      <c r="G271" s="4823"/>
      <c r="H271" s="482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4083</v>
      </c>
      <c r="E275" s="4822" t="s">
        <v>3121</v>
      </c>
      <c r="F275" s="4822"/>
      <c r="G275" s="4822"/>
      <c r="H275" s="4822"/>
    </row>
    <row r="276" spans="1:8" ht="12.75" customHeight="1">
      <c r="C276" s="1450"/>
      <c r="D276" s="1448" t="s">
        <v>2984</v>
      </c>
      <c r="E276" s="4823" t="s">
        <v>3122</v>
      </c>
      <c r="F276" s="4823"/>
      <c r="G276" s="4823"/>
      <c r="H276" s="482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4083</v>
      </c>
      <c r="E280" s="4822" t="s">
        <v>3121</v>
      </c>
      <c r="F280" s="4822"/>
      <c r="G280" s="4822"/>
      <c r="H280" s="4822"/>
    </row>
    <row r="281" spans="1:8" ht="12.75" customHeight="1">
      <c r="C281" s="1450"/>
      <c r="D281" s="1448" t="s">
        <v>2984</v>
      </c>
      <c r="E281" s="4823" t="s">
        <v>3122</v>
      </c>
      <c r="F281" s="4823"/>
      <c r="G281" s="4823"/>
      <c r="H281" s="4823"/>
    </row>
    <row r="282" spans="1:8" ht="6" customHeight="1">
      <c r="D282" s="639"/>
      <c r="E282" s="1025"/>
      <c r="F282" s="1025"/>
      <c r="G282" s="1025"/>
      <c r="H282" s="1025"/>
    </row>
    <row r="283" spans="1:8">
      <c r="A283" s="620" t="s">
        <v>2980</v>
      </c>
      <c r="B283" s="637">
        <f>IF('Part V-Revenues &amp; Expenses'!$L$59=0,"",'Part V-Revenues &amp; Expenses'!$L$59)</f>
        <v>5</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4083</v>
      </c>
      <c r="E287" s="4822" t="s">
        <v>3121</v>
      </c>
      <c r="F287" s="4822"/>
      <c r="G287" s="4822"/>
      <c r="H287" s="4822"/>
    </row>
    <row r="288" spans="1:8" ht="12.75" customHeight="1">
      <c r="C288" s="1450"/>
      <c r="D288" s="642" t="s">
        <v>2984</v>
      </c>
      <c r="E288" s="4822" t="s">
        <v>3122</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4083</v>
      </c>
      <c r="E292" s="4822" t="s">
        <v>3121</v>
      </c>
      <c r="F292" s="4822"/>
      <c r="G292" s="4822"/>
      <c r="H292" s="4822"/>
    </row>
    <row r="293" spans="1:8" ht="12.75" customHeight="1">
      <c r="C293" s="1450"/>
      <c r="D293" s="1448" t="s">
        <v>2984</v>
      </c>
      <c r="E293" s="4823" t="s">
        <v>3122</v>
      </c>
      <c r="F293" s="4823"/>
      <c r="G293" s="4823"/>
      <c r="H293" s="482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4083</v>
      </c>
      <c r="E297" s="4822" t="s">
        <v>3121</v>
      </c>
      <c r="F297" s="4822"/>
      <c r="G297" s="4822"/>
      <c r="H297" s="4822"/>
    </row>
    <row r="298" spans="1:8" ht="12.75" customHeight="1">
      <c r="C298" s="1450"/>
      <c r="D298" s="1448" t="s">
        <v>2984</v>
      </c>
      <c r="E298" s="4823" t="s">
        <v>3122</v>
      </c>
      <c r="F298" s="4823"/>
      <c r="G298" s="4823"/>
      <c r="H298" s="4823"/>
    </row>
    <row r="299" spans="1:8" ht="6" customHeight="1">
      <c r="D299" s="639"/>
      <c r="E299" s="1025"/>
      <c r="F299" s="1025"/>
      <c r="G299" s="1025"/>
      <c r="H299" s="1025"/>
    </row>
    <row r="300" spans="1:8">
      <c r="A300" s="620" t="s">
        <v>2980</v>
      </c>
      <c r="B300" s="637">
        <f>IF('Part V-Revenues &amp; Expenses'!$M$59=0,"",'Part V-Revenues &amp; Expenses'!$M$59)</f>
        <v>12</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4083</v>
      </c>
      <c r="E304" s="4822" t="s">
        <v>3121</v>
      </c>
      <c r="F304" s="4822"/>
      <c r="G304" s="4822"/>
      <c r="H304" s="4822"/>
    </row>
    <row r="305" spans="1:8" ht="12.75" customHeight="1">
      <c r="C305" s="1450"/>
      <c r="D305" s="642" t="s">
        <v>2984</v>
      </c>
      <c r="E305" s="4822" t="s">
        <v>3122</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4083</v>
      </c>
      <c r="E309" s="4822" t="s">
        <v>3121</v>
      </c>
      <c r="F309" s="4822"/>
      <c r="G309" s="4822"/>
      <c r="H309" s="4822"/>
    </row>
    <row r="310" spans="1:8" ht="12.75" customHeight="1">
      <c r="C310" s="1450"/>
      <c r="D310" s="1448" t="s">
        <v>2984</v>
      </c>
      <c r="E310" s="4823" t="s">
        <v>3122</v>
      </c>
      <c r="F310" s="4823"/>
      <c r="G310" s="4823"/>
      <c r="H310" s="482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4083</v>
      </c>
      <c r="E314" s="4822" t="s">
        <v>3121</v>
      </c>
      <c r="F314" s="4822"/>
      <c r="G314" s="4822"/>
      <c r="H314" s="4822"/>
    </row>
    <row r="315" spans="1:8" ht="12.75" customHeight="1">
      <c r="C315" s="1450"/>
      <c r="D315" s="1448" t="s">
        <v>2984</v>
      </c>
      <c r="E315" s="4823" t="s">
        <v>3122</v>
      </c>
      <c r="F315" s="4823"/>
      <c r="G315" s="4823"/>
      <c r="H315" s="4823"/>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4083</v>
      </c>
      <c r="E321" s="4822" t="s">
        <v>3121</v>
      </c>
      <c r="F321" s="4822"/>
      <c r="G321" s="4822"/>
      <c r="H321" s="4822"/>
    </row>
    <row r="322" spans="1:11" ht="12.75" customHeight="1">
      <c r="C322" s="1450"/>
      <c r="D322" s="642" t="s">
        <v>2984</v>
      </c>
      <c r="E322" s="4822" t="s">
        <v>3122</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4083</v>
      </c>
      <c r="E326" s="4822" t="s">
        <v>3121</v>
      </c>
      <c r="F326" s="4822"/>
      <c r="G326" s="4822"/>
      <c r="H326" s="4822"/>
    </row>
    <row r="327" spans="1:11" ht="12.75" customHeight="1">
      <c r="C327" s="1450"/>
      <c r="D327" s="1448" t="s">
        <v>2984</v>
      </c>
      <c r="E327" s="4823" t="s">
        <v>3122</v>
      </c>
      <c r="F327" s="4823"/>
      <c r="G327" s="4823"/>
      <c r="H327" s="482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4083</v>
      </c>
      <c r="E331" s="4822" t="s">
        <v>3121</v>
      </c>
      <c r="F331" s="4822"/>
      <c r="G331" s="4822"/>
      <c r="H331" s="4822"/>
    </row>
    <row r="332" spans="1:11" ht="12.75" customHeight="1">
      <c r="C332" s="1450"/>
      <c r="D332" s="1448" t="s">
        <v>2984</v>
      </c>
      <c r="E332" s="4823" t="s">
        <v>3122</v>
      </c>
      <c r="F332" s="4823"/>
      <c r="G332" s="4823"/>
      <c r="H332" s="4823"/>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149999999999999" customHeight="1" thickBot="1">
      <c r="A342" s="4829">
        <v>60</v>
      </c>
      <c r="B342" s="4830"/>
      <c r="C342" s="1451" t="s">
        <v>975</v>
      </c>
    </row>
    <row r="343" spans="1:8" ht="9" customHeight="1">
      <c r="A343" s="611"/>
    </row>
    <row r="344" spans="1:8" ht="28.15" customHeight="1">
      <c r="A344" s="4822" t="s">
        <v>4088</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4083</v>
      </c>
      <c r="E350" s="4822" t="s">
        <v>3121</v>
      </c>
      <c r="F350" s="4822"/>
      <c r="G350" s="4822"/>
      <c r="H350" s="4822"/>
    </row>
    <row r="351" spans="1:8" ht="12.75" customHeight="1">
      <c r="C351" s="1450"/>
      <c r="D351" s="1448" t="s">
        <v>2984</v>
      </c>
      <c r="E351" s="4823" t="s">
        <v>3122</v>
      </c>
      <c r="F351" s="4823"/>
      <c r="G351" s="4823"/>
      <c r="H351" s="482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4083</v>
      </c>
      <c r="E355" s="4822" t="s">
        <v>3121</v>
      </c>
      <c r="F355" s="4822"/>
      <c r="G355" s="4822"/>
      <c r="H355" s="4822"/>
    </row>
    <row r="356" spans="1:8" ht="12.75" customHeight="1">
      <c r="C356" s="1450"/>
      <c r="D356" s="1448" t="s">
        <v>2984</v>
      </c>
      <c r="E356" s="4823" t="s">
        <v>3122</v>
      </c>
      <c r="F356" s="4823"/>
      <c r="G356" s="4823"/>
      <c r="H356" s="482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4083</v>
      </c>
      <c r="E360" s="4822" t="s">
        <v>3121</v>
      </c>
      <c r="F360" s="4822"/>
      <c r="G360" s="4822"/>
      <c r="H360" s="4822"/>
    </row>
    <row r="361" spans="1:8" ht="12.75" customHeight="1">
      <c r="C361" s="1450"/>
      <c r="D361" s="1448" t="s">
        <v>2984</v>
      </c>
      <c r="E361" s="4823" t="s">
        <v>3122</v>
      </c>
      <c r="F361" s="4823"/>
      <c r="G361" s="4823"/>
      <c r="H361" s="4823"/>
    </row>
    <row r="362" spans="1:8" ht="6" customHeight="1">
      <c r="D362" s="639"/>
      <c r="E362" s="1025"/>
      <c r="F362" s="1025"/>
      <c r="G362" s="1025"/>
      <c r="H362" s="1025"/>
    </row>
    <row r="363" spans="1:8">
      <c r="A363" s="620" t="s">
        <v>2980</v>
      </c>
      <c r="B363" s="637">
        <f>IF('Part V-Revenues &amp; Expenses'!$L$58=0,"",'Part V-Revenues &amp; Expenses'!$L$58)</f>
        <v>13</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4083</v>
      </c>
      <c r="E367" s="4822" t="s">
        <v>3121</v>
      </c>
      <c r="F367" s="4822"/>
      <c r="G367" s="4822"/>
      <c r="H367" s="4822"/>
    </row>
    <row r="368" spans="1:8" ht="12.75" customHeight="1">
      <c r="C368" s="1450"/>
      <c r="D368" s="642" t="s">
        <v>2984</v>
      </c>
      <c r="E368" s="4822" t="s">
        <v>3122</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4083</v>
      </c>
      <c r="E372" s="4822" t="s">
        <v>3121</v>
      </c>
      <c r="F372" s="4822"/>
      <c r="G372" s="4822"/>
      <c r="H372" s="4822"/>
    </row>
    <row r="373" spans="1:8" ht="12.75" customHeight="1">
      <c r="C373" s="1450"/>
      <c r="D373" s="1448" t="s">
        <v>2984</v>
      </c>
      <c r="E373" s="4823" t="s">
        <v>3122</v>
      </c>
      <c r="F373" s="4823"/>
      <c r="G373" s="4823"/>
      <c r="H373" s="482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4083</v>
      </c>
      <c r="E377" s="4822" t="s">
        <v>3121</v>
      </c>
      <c r="F377" s="4822"/>
      <c r="G377" s="4822"/>
      <c r="H377" s="4822"/>
    </row>
    <row r="378" spans="1:8" ht="12.75" customHeight="1">
      <c r="C378" s="1450"/>
      <c r="D378" s="1448" t="s">
        <v>2984</v>
      </c>
      <c r="E378" s="4823" t="s">
        <v>3122</v>
      </c>
      <c r="F378" s="4823"/>
      <c r="G378" s="4823"/>
      <c r="H378" s="4823"/>
    </row>
    <row r="379" spans="1:8" ht="6" customHeight="1">
      <c r="D379" s="639"/>
      <c r="E379" s="1025"/>
      <c r="F379" s="1025"/>
      <c r="G379" s="1025"/>
      <c r="H379" s="1025"/>
    </row>
    <row r="380" spans="1:8">
      <c r="A380" s="620" t="s">
        <v>2980</v>
      </c>
      <c r="B380" s="637">
        <f>IF('Part V-Revenues &amp; Expenses'!$M$58=0,"",'Part V-Revenues &amp; Expenses'!$M$58)</f>
        <v>50</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4083</v>
      </c>
      <c r="E384" s="4822" t="s">
        <v>3121</v>
      </c>
      <c r="F384" s="4822"/>
      <c r="G384" s="4822"/>
      <c r="H384" s="4822"/>
    </row>
    <row r="385" spans="1:8" ht="12.75" customHeight="1">
      <c r="C385" s="1450"/>
      <c r="D385" s="642" t="s">
        <v>2984</v>
      </c>
      <c r="E385" s="4822" t="s">
        <v>3122</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4083</v>
      </c>
      <c r="E389" s="4822" t="s">
        <v>3121</v>
      </c>
      <c r="F389" s="4822"/>
      <c r="G389" s="4822"/>
      <c r="H389" s="4822"/>
    </row>
    <row r="390" spans="1:8" ht="12.75" customHeight="1">
      <c r="C390" s="1450"/>
      <c r="D390" s="1448" t="s">
        <v>2984</v>
      </c>
      <c r="E390" s="4823" t="s">
        <v>3122</v>
      </c>
      <c r="F390" s="4823"/>
      <c r="G390" s="4823"/>
      <c r="H390" s="482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4083</v>
      </c>
      <c r="E394" s="4822" t="s">
        <v>3121</v>
      </c>
      <c r="F394" s="4822"/>
      <c r="G394" s="4822"/>
      <c r="H394" s="4822"/>
    </row>
    <row r="395" spans="1:8" ht="12.75" customHeight="1">
      <c r="C395" s="1450"/>
      <c r="D395" s="1448" t="s">
        <v>2984</v>
      </c>
      <c r="E395" s="4823" t="s">
        <v>3122</v>
      </c>
      <c r="F395" s="4823"/>
      <c r="G395" s="4823"/>
      <c r="H395" s="4823"/>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4083</v>
      </c>
      <c r="E401" s="4822" t="s">
        <v>3121</v>
      </c>
      <c r="F401" s="4822"/>
      <c r="G401" s="4822"/>
      <c r="H401" s="4822"/>
    </row>
    <row r="402" spans="1:11" ht="12.75" customHeight="1">
      <c r="C402" s="1450"/>
      <c r="D402" s="642" t="s">
        <v>2984</v>
      </c>
      <c r="E402" s="4822" t="s">
        <v>3122</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4083</v>
      </c>
      <c r="E406" s="4822" t="s">
        <v>3121</v>
      </c>
      <c r="F406" s="4822"/>
      <c r="G406" s="4822"/>
      <c r="H406" s="4822"/>
    </row>
    <row r="407" spans="1:11" ht="12.75" customHeight="1">
      <c r="C407" s="1450"/>
      <c r="D407" s="1448" t="s">
        <v>2984</v>
      </c>
      <c r="E407" s="4823" t="s">
        <v>3122</v>
      </c>
      <c r="F407" s="4823"/>
      <c r="G407" s="4823"/>
      <c r="H407" s="482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4083</v>
      </c>
      <c r="E411" s="4822" t="s">
        <v>3121</v>
      </c>
      <c r="F411" s="4822"/>
      <c r="G411" s="4822"/>
      <c r="H411" s="4822"/>
    </row>
    <row r="412" spans="1:11" ht="12.75" customHeight="1">
      <c r="C412" s="1450"/>
      <c r="D412" s="1448" t="s">
        <v>2984</v>
      </c>
      <c r="E412" s="4823" t="s">
        <v>3122</v>
      </c>
      <c r="F412" s="4823"/>
      <c r="G412" s="4823"/>
      <c r="H412" s="4823"/>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149999999999999" customHeight="1" thickBot="1">
      <c r="A421" s="4829">
        <v>70</v>
      </c>
      <c r="B421" s="4830"/>
      <c r="C421" s="1451" t="s">
        <v>975</v>
      </c>
    </row>
    <row r="422" spans="1:8" ht="9" customHeight="1">
      <c r="A422" s="611"/>
    </row>
    <row r="423" spans="1:8" ht="28.15" customHeight="1">
      <c r="A423" s="4822" t="s">
        <v>4089</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4083</v>
      </c>
      <c r="E429" s="4822" t="s">
        <v>3121</v>
      </c>
      <c r="F429" s="4822"/>
      <c r="G429" s="4822"/>
      <c r="H429" s="4822"/>
    </row>
    <row r="430" spans="1:8" ht="12.75" customHeight="1">
      <c r="C430" s="1450"/>
      <c r="D430" s="1448" t="s">
        <v>2984</v>
      </c>
      <c r="E430" s="4823" t="s">
        <v>3122</v>
      </c>
      <c r="F430" s="4823"/>
      <c r="G430" s="4823"/>
      <c r="H430" s="482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4083</v>
      </c>
      <c r="E434" s="4822" t="s">
        <v>3121</v>
      </c>
      <c r="F434" s="4822"/>
      <c r="G434" s="4822"/>
      <c r="H434" s="4822"/>
    </row>
    <row r="435" spans="1:8" ht="12.75" customHeight="1">
      <c r="C435" s="1450"/>
      <c r="D435" s="1448" t="s">
        <v>2984</v>
      </c>
      <c r="E435" s="4823" t="s">
        <v>3122</v>
      </c>
      <c r="F435" s="4823"/>
      <c r="G435" s="4823"/>
      <c r="H435" s="482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4083</v>
      </c>
      <c r="E439" s="4822" t="s">
        <v>3121</v>
      </c>
      <c r="F439" s="4822"/>
      <c r="G439" s="4822"/>
      <c r="H439" s="4822"/>
    </row>
    <row r="440" spans="1:8" ht="12.75" customHeight="1">
      <c r="C440" s="1450"/>
      <c r="D440" s="1448" t="s">
        <v>2984</v>
      </c>
      <c r="E440" s="4823" t="s">
        <v>3122</v>
      </c>
      <c r="F440" s="4823"/>
      <c r="G440" s="4823"/>
      <c r="H440" s="482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4083</v>
      </c>
      <c r="E446" s="4822" t="s">
        <v>3121</v>
      </c>
      <c r="F446" s="4822"/>
      <c r="G446" s="4822"/>
      <c r="H446" s="4822"/>
    </row>
    <row r="447" spans="1:8" ht="12.75" customHeight="1">
      <c r="C447" s="1450"/>
      <c r="D447" s="642" t="s">
        <v>2984</v>
      </c>
      <c r="E447" s="4822" t="s">
        <v>3122</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4083</v>
      </c>
      <c r="E451" s="4822" t="s">
        <v>3121</v>
      </c>
      <c r="F451" s="4822"/>
      <c r="G451" s="4822"/>
      <c r="H451" s="4822"/>
    </row>
    <row r="452" spans="1:8" ht="12.75" customHeight="1">
      <c r="C452" s="1450"/>
      <c r="D452" s="1448" t="s">
        <v>2984</v>
      </c>
      <c r="E452" s="4823" t="s">
        <v>3122</v>
      </c>
      <c r="F452" s="4823"/>
      <c r="G452" s="4823"/>
      <c r="H452" s="482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4083</v>
      </c>
      <c r="E456" s="4822" t="s">
        <v>3121</v>
      </c>
      <c r="F456" s="4822"/>
      <c r="G456" s="4822"/>
      <c r="H456" s="4822"/>
    </row>
    <row r="457" spans="1:8" ht="12.75" customHeight="1">
      <c r="C457" s="1450"/>
      <c r="D457" s="1448" t="s">
        <v>2984</v>
      </c>
      <c r="E457" s="4823" t="s">
        <v>3122</v>
      </c>
      <c r="F457" s="4823"/>
      <c r="G457" s="4823"/>
      <c r="H457" s="482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4083</v>
      </c>
      <c r="E463" s="4822" t="s">
        <v>3121</v>
      </c>
      <c r="F463" s="4822"/>
      <c r="G463" s="4822"/>
      <c r="H463" s="4822"/>
    </row>
    <row r="464" spans="1:8" ht="12.75" customHeight="1">
      <c r="C464" s="1450"/>
      <c r="D464" s="642" t="s">
        <v>2984</v>
      </c>
      <c r="E464" s="4822" t="s">
        <v>3122</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4083</v>
      </c>
      <c r="E468" s="4822" t="s">
        <v>3121</v>
      </c>
      <c r="F468" s="4822"/>
      <c r="G468" s="4822"/>
      <c r="H468" s="4822"/>
    </row>
    <row r="469" spans="1:8" ht="12.75" customHeight="1">
      <c r="C469" s="1450"/>
      <c r="D469" s="1448" t="s">
        <v>2984</v>
      </c>
      <c r="E469" s="4823" t="s">
        <v>3122</v>
      </c>
      <c r="F469" s="4823"/>
      <c r="G469" s="4823"/>
      <c r="H469" s="482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4083</v>
      </c>
      <c r="E473" s="4822" t="s">
        <v>3121</v>
      </c>
      <c r="F473" s="4822"/>
      <c r="G473" s="4822"/>
      <c r="H473" s="4822"/>
    </row>
    <row r="474" spans="1:8" ht="12.75" customHeight="1">
      <c r="C474" s="1450"/>
      <c r="D474" s="1448" t="s">
        <v>2984</v>
      </c>
      <c r="E474" s="4823" t="s">
        <v>3122</v>
      </c>
      <c r="F474" s="4823"/>
      <c r="G474" s="4823"/>
      <c r="H474" s="482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4083</v>
      </c>
      <c r="E480" s="4822" t="s">
        <v>3121</v>
      </c>
      <c r="F480" s="4822"/>
      <c r="G480" s="4822"/>
      <c r="H480" s="4822"/>
    </row>
    <row r="481" spans="1:11" ht="12.75" customHeight="1">
      <c r="C481" s="1450"/>
      <c r="D481" s="642" t="s">
        <v>2984</v>
      </c>
      <c r="E481" s="4822" t="s">
        <v>3122</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4083</v>
      </c>
      <c r="E485" s="4822" t="s">
        <v>3121</v>
      </c>
      <c r="F485" s="4822"/>
      <c r="G485" s="4822"/>
      <c r="H485" s="4822"/>
    </row>
    <row r="486" spans="1:11" ht="12.75" customHeight="1">
      <c r="C486" s="1450"/>
      <c r="D486" s="1448" t="s">
        <v>2984</v>
      </c>
      <c r="E486" s="4823" t="s">
        <v>3122</v>
      </c>
      <c r="F486" s="4823"/>
      <c r="G486" s="4823"/>
      <c r="H486" s="482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4083</v>
      </c>
      <c r="E490" s="4822" t="s">
        <v>3121</v>
      </c>
      <c r="F490" s="4822"/>
      <c r="G490" s="4822"/>
      <c r="H490" s="4822"/>
    </row>
    <row r="491" spans="1:11" ht="12.75" customHeight="1">
      <c r="C491" s="1450"/>
      <c r="D491" s="1448" t="s">
        <v>2984</v>
      </c>
      <c r="E491" s="4823" t="s">
        <v>3122</v>
      </c>
      <c r="F491" s="4823"/>
      <c r="G491" s="4823"/>
      <c r="H491" s="4823"/>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149999999999999" customHeight="1" thickBot="1">
      <c r="A500" s="4829">
        <v>80</v>
      </c>
      <c r="B500" s="4830"/>
      <c r="C500" s="1451" t="s">
        <v>975</v>
      </c>
    </row>
    <row r="501" spans="1:8" ht="9" customHeight="1">
      <c r="A501" s="611"/>
    </row>
    <row r="502" spans="1:8" ht="28.15" customHeight="1">
      <c r="A502" s="4822" t="s">
        <v>4090</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4083</v>
      </c>
      <c r="E508" s="4822" t="s">
        <v>3121</v>
      </c>
      <c r="F508" s="4822"/>
      <c r="G508" s="4822"/>
      <c r="H508" s="4822"/>
    </row>
    <row r="509" spans="1:8" ht="12.75" customHeight="1">
      <c r="C509" s="1450"/>
      <c r="D509" s="1448" t="s">
        <v>2984</v>
      </c>
      <c r="E509" s="4823" t="s">
        <v>3122</v>
      </c>
      <c r="F509" s="4823"/>
      <c r="G509" s="4823"/>
      <c r="H509" s="482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4083</v>
      </c>
      <c r="E513" s="4822" t="s">
        <v>3121</v>
      </c>
      <c r="F513" s="4822"/>
      <c r="G513" s="4822"/>
      <c r="H513" s="4822"/>
    </row>
    <row r="514" spans="1:8" ht="12.75" customHeight="1">
      <c r="C514" s="1450"/>
      <c r="D514" s="1448" t="s">
        <v>2984</v>
      </c>
      <c r="E514" s="4823" t="s">
        <v>3122</v>
      </c>
      <c r="F514" s="4823"/>
      <c r="G514" s="4823"/>
      <c r="H514" s="482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4083</v>
      </c>
      <c r="E518" s="4822" t="s">
        <v>3121</v>
      </c>
      <c r="F518" s="4822"/>
      <c r="G518" s="4822"/>
      <c r="H518" s="4822"/>
    </row>
    <row r="519" spans="1:8" ht="12.75" customHeight="1">
      <c r="C519" s="1450"/>
      <c r="D519" s="1448" t="s">
        <v>2984</v>
      </c>
      <c r="E519" s="4823" t="s">
        <v>3122</v>
      </c>
      <c r="F519" s="4823"/>
      <c r="G519" s="4823"/>
      <c r="H519" s="4823"/>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4083</v>
      </c>
      <c r="E525" s="4822" t="s">
        <v>3121</v>
      </c>
      <c r="F525" s="4822"/>
      <c r="G525" s="4822"/>
      <c r="H525" s="4822"/>
    </row>
    <row r="526" spans="1:8" ht="12.75" customHeight="1">
      <c r="C526" s="1450"/>
      <c r="D526" s="642" t="s">
        <v>2984</v>
      </c>
      <c r="E526" s="4822" t="s">
        <v>3122</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4083</v>
      </c>
      <c r="E530" s="4822" t="s">
        <v>3121</v>
      </c>
      <c r="F530" s="4822"/>
      <c r="G530" s="4822"/>
      <c r="H530" s="4822"/>
    </row>
    <row r="531" spans="1:8" ht="12.75" customHeight="1">
      <c r="C531" s="1450"/>
      <c r="D531" s="1448" t="s">
        <v>2984</v>
      </c>
      <c r="E531" s="4823" t="s">
        <v>3122</v>
      </c>
      <c r="F531" s="4823"/>
      <c r="G531" s="4823"/>
      <c r="H531" s="482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4083</v>
      </c>
      <c r="E535" s="4822" t="s">
        <v>3121</v>
      </c>
      <c r="F535" s="4822"/>
      <c r="G535" s="4822"/>
      <c r="H535" s="4822"/>
    </row>
    <row r="536" spans="1:8" ht="12.75" customHeight="1">
      <c r="C536" s="1450"/>
      <c r="D536" s="1448" t="s">
        <v>2984</v>
      </c>
      <c r="E536" s="4823" t="s">
        <v>3122</v>
      </c>
      <c r="F536" s="4823"/>
      <c r="G536" s="4823"/>
      <c r="H536" s="4823"/>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4083</v>
      </c>
      <c r="E542" s="4822" t="s">
        <v>3121</v>
      </c>
      <c r="F542" s="4822"/>
      <c r="G542" s="4822"/>
      <c r="H542" s="4822"/>
    </row>
    <row r="543" spans="1:8" ht="12.75" customHeight="1">
      <c r="C543" s="1450"/>
      <c r="D543" s="642" t="s">
        <v>2984</v>
      </c>
      <c r="E543" s="4822" t="s">
        <v>3122</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4083</v>
      </c>
      <c r="E547" s="4822" t="s">
        <v>3121</v>
      </c>
      <c r="F547" s="4822"/>
      <c r="G547" s="4822"/>
      <c r="H547" s="4822"/>
    </row>
    <row r="548" spans="1:8" ht="12.75" customHeight="1">
      <c r="C548" s="1450"/>
      <c r="D548" s="1448" t="s">
        <v>2984</v>
      </c>
      <c r="E548" s="4823" t="s">
        <v>3122</v>
      </c>
      <c r="F548" s="4823"/>
      <c r="G548" s="4823"/>
      <c r="H548" s="482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4083</v>
      </c>
      <c r="E552" s="4822" t="s">
        <v>3121</v>
      </c>
      <c r="F552" s="4822"/>
      <c r="G552" s="4822"/>
      <c r="H552" s="4822"/>
    </row>
    <row r="553" spans="1:8" ht="12.75" customHeight="1">
      <c r="C553" s="1450"/>
      <c r="D553" s="1448" t="s">
        <v>2984</v>
      </c>
      <c r="E553" s="4823" t="s">
        <v>3122</v>
      </c>
      <c r="F553" s="4823"/>
      <c r="G553" s="4823"/>
      <c r="H553" s="4823"/>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4083</v>
      </c>
      <c r="E559" s="4822" t="s">
        <v>3121</v>
      </c>
      <c r="F559" s="4822"/>
      <c r="G559" s="4822"/>
      <c r="H559" s="4822"/>
    </row>
    <row r="560" spans="1:8" ht="12.75" customHeight="1">
      <c r="C560" s="1450"/>
      <c r="D560" s="642" t="s">
        <v>2984</v>
      </c>
      <c r="E560" s="4822" t="s">
        <v>3122</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4083</v>
      </c>
      <c r="E564" s="4822" t="s">
        <v>3121</v>
      </c>
      <c r="F564" s="4822"/>
      <c r="G564" s="4822"/>
      <c r="H564" s="4822"/>
    </row>
    <row r="565" spans="1:11" ht="12.75" customHeight="1">
      <c r="C565" s="1450"/>
      <c r="D565" s="1448" t="s">
        <v>2984</v>
      </c>
      <c r="E565" s="4823" t="s">
        <v>3122</v>
      </c>
      <c r="F565" s="4823"/>
      <c r="G565" s="4823"/>
      <c r="H565" s="482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4083</v>
      </c>
      <c r="E569" s="4822" t="s">
        <v>3121</v>
      </c>
      <c r="F569" s="4822"/>
      <c r="G569" s="4822"/>
      <c r="H569" s="4822"/>
    </row>
    <row r="570" spans="1:11" ht="12.75" customHeight="1">
      <c r="C570" s="1450"/>
      <c r="D570" s="1448" t="s">
        <v>2984</v>
      </c>
      <c r="E570" s="4823" t="s">
        <v>3122</v>
      </c>
      <c r="F570" s="4823"/>
      <c r="G570" s="4823"/>
      <c r="H570" s="4823"/>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Helix, Riverdale, Clayton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3194</v>
      </c>
      <c r="M9" s="3175"/>
      <c r="N9" s="3176"/>
      <c r="O9" s="259" t="s">
        <v>1838</v>
      </c>
      <c r="P9" s="261"/>
      <c r="Q9" s="3035"/>
      <c r="R9" s="3036"/>
      <c r="S9" s="3037"/>
      <c r="Z9" s="1706">
        <v>9</v>
      </c>
    </row>
    <row r="10" spans="1:26" s="144" customFormat="1" ht="11.25" customHeight="1">
      <c r="D10" s="260"/>
      <c r="E10" s="246" t="s">
        <v>3461</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3461</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3461</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3461</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3461</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3461</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3461</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3461</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3461</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3461</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3461</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3461</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3461</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3461</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3461</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3461</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3461</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41"/>
      <c r="I120" s="3042"/>
      <c r="J120" s="3043"/>
      <c r="K120" s="262" t="s">
        <v>1670</v>
      </c>
      <c r="L120" s="3041"/>
      <c r="M120" s="3091"/>
      <c r="N120" s="3092"/>
      <c r="O120" s="259" t="s">
        <v>3140</v>
      </c>
      <c r="P120" s="261"/>
      <c r="Q120" s="3093"/>
      <c r="R120" s="3094"/>
      <c r="S120" s="3095"/>
      <c r="Z120" s="1706">
        <v>120</v>
      </c>
    </row>
    <row r="121" spans="1:26" s="144" customFormat="1" ht="11.25" customHeight="1">
      <c r="C121" s="243"/>
      <c r="D121" s="260"/>
      <c r="E121" s="246" t="s">
        <v>6222</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41"/>
      <c r="I124" s="3042"/>
      <c r="J124" s="3043"/>
      <c r="K124" s="262" t="s">
        <v>1670</v>
      </c>
      <c r="L124" s="3041"/>
      <c r="M124" s="3091"/>
      <c r="N124" s="3092"/>
      <c r="O124" s="259" t="s">
        <v>3140</v>
      </c>
      <c r="P124" s="261"/>
      <c r="Q124" s="3093"/>
      <c r="R124" s="3094"/>
      <c r="S124" s="3095"/>
      <c r="Z124" s="1706">
        <v>124</v>
      </c>
    </row>
    <row r="125" spans="1:26" s="144" customFormat="1" ht="11.25" hidden="1" customHeight="1">
      <c r="C125" s="243"/>
      <c r="D125" s="260"/>
      <c r="E125" s="246" t="s">
        <v>6222</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41"/>
      <c r="I128" s="3042"/>
      <c r="J128" s="3043"/>
      <c r="K128" s="262" t="s">
        <v>1670</v>
      </c>
      <c r="L128" s="3041"/>
      <c r="M128" s="3091"/>
      <c r="N128" s="3092"/>
      <c r="O128" s="259" t="s">
        <v>3140</v>
      </c>
      <c r="P128" s="261"/>
      <c r="Q128" s="3093"/>
      <c r="R128" s="3094"/>
      <c r="S128" s="3095"/>
      <c r="Z128" s="1706">
        <v>128</v>
      </c>
    </row>
    <row r="129" spans="3:26" s="144" customFormat="1" ht="11.25" hidden="1" customHeight="1">
      <c r="C129" s="243"/>
      <c r="D129" s="260"/>
      <c r="E129" s="246" t="s">
        <v>6222</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41"/>
      <c r="I132" s="3042"/>
      <c r="J132" s="3043"/>
      <c r="K132" s="262" t="s">
        <v>1670</v>
      </c>
      <c r="L132" s="3041"/>
      <c r="M132" s="3091"/>
      <c r="N132" s="3092"/>
      <c r="O132" s="259" t="s">
        <v>3140</v>
      </c>
      <c r="P132" s="261"/>
      <c r="Q132" s="3093"/>
      <c r="R132" s="3094"/>
      <c r="S132" s="3095"/>
      <c r="Z132" s="1706">
        <v>132</v>
      </c>
    </row>
    <row r="133" spans="3:26" s="144" customFormat="1" ht="11.25" hidden="1" customHeight="1">
      <c r="C133" s="243"/>
      <c r="D133" s="260"/>
      <c r="E133" s="246" t="s">
        <v>6222</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41"/>
      <c r="I136" s="3042"/>
      <c r="J136" s="3043"/>
      <c r="K136" s="262" t="s">
        <v>1670</v>
      </c>
      <c r="L136" s="3041"/>
      <c r="M136" s="3091"/>
      <c r="N136" s="3092"/>
      <c r="O136" s="259" t="s">
        <v>3140</v>
      </c>
      <c r="P136" s="261"/>
      <c r="Q136" s="3093"/>
      <c r="R136" s="3094"/>
      <c r="S136" s="3095"/>
      <c r="Z136" s="1706">
        <v>136</v>
      </c>
    </row>
    <row r="137" spans="3:26" s="144" customFormat="1" ht="11.25" hidden="1" customHeight="1">
      <c r="C137" s="243"/>
      <c r="D137" s="260"/>
      <c r="E137" s="246" t="s">
        <v>6222</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41"/>
      <c r="I140" s="3042"/>
      <c r="J140" s="3043"/>
      <c r="K140" s="262" t="s">
        <v>1670</v>
      </c>
      <c r="L140" s="3041"/>
      <c r="M140" s="3091"/>
      <c r="N140" s="3092"/>
      <c r="O140" s="259" t="s">
        <v>3140</v>
      </c>
      <c r="P140" s="261"/>
      <c r="Q140" s="3093"/>
      <c r="R140" s="3094"/>
      <c r="S140" s="3095"/>
      <c r="Z140" s="1706">
        <v>140</v>
      </c>
    </row>
    <row r="141" spans="3:26" s="144" customFormat="1" ht="11.25" hidden="1" customHeight="1">
      <c r="C141" s="243"/>
      <c r="D141" s="260"/>
      <c r="E141" s="246" t="s">
        <v>6222</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41"/>
      <c r="I144" s="3042"/>
      <c r="J144" s="3043"/>
      <c r="K144" s="262" t="s">
        <v>1670</v>
      </c>
      <c r="L144" s="3041"/>
      <c r="M144" s="3091"/>
      <c r="N144" s="3092"/>
      <c r="O144" s="259" t="s">
        <v>3140</v>
      </c>
      <c r="P144" s="261"/>
      <c r="Q144" s="3093"/>
      <c r="R144" s="3094"/>
      <c r="S144" s="3095"/>
      <c r="Z144" s="1706">
        <v>144</v>
      </c>
    </row>
    <row r="145" spans="1:26" s="144" customFormat="1" ht="11.25" customHeight="1">
      <c r="C145" s="243"/>
      <c r="D145" s="260"/>
      <c r="E145" s="246" t="s">
        <v>6222</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41"/>
      <c r="I148" s="3042"/>
      <c r="J148" s="3043"/>
      <c r="K148" s="262" t="s">
        <v>1670</v>
      </c>
      <c r="L148" s="3041"/>
      <c r="M148" s="3091"/>
      <c r="N148" s="3092"/>
      <c r="O148" s="259" t="s">
        <v>3140</v>
      </c>
      <c r="P148" s="261"/>
      <c r="Q148" s="3093"/>
      <c r="R148" s="3094"/>
      <c r="S148" s="3095"/>
      <c r="Z148" s="1706">
        <v>148</v>
      </c>
    </row>
    <row r="149" spans="1:26" s="144" customFormat="1" ht="11.25" customHeight="1">
      <c r="D149" s="260"/>
      <c r="E149" s="246" t="s">
        <v>6222</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096" t="s">
        <v>3296</v>
      </c>
      <c r="B153" s="3096"/>
      <c r="C153" s="3096"/>
      <c r="D153" s="3096"/>
      <c r="E153" s="3096"/>
      <c r="H153" s="1263" t="s">
        <v>2308</v>
      </c>
      <c r="I153" s="3073" t="s">
        <v>6516</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3838</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6220</v>
      </c>
      <c r="E155" s="256"/>
      <c r="H155" s="1216" t="s">
        <v>3838</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3838</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3838</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3838</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3838</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3838</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3889</v>
      </c>
      <c r="E161" s="256"/>
      <c r="H161" s="1216" t="s">
        <v>3838</v>
      </c>
      <c r="I161" s="3179"/>
      <c r="J161" s="3108"/>
      <c r="K161" s="3108"/>
      <c r="L161" s="3108"/>
      <c r="M161" s="3108"/>
      <c r="N161" s="3108"/>
      <c r="O161" s="3108"/>
      <c r="P161" s="3108"/>
      <c r="Q161" s="3108"/>
      <c r="R161" s="3108"/>
      <c r="S161" s="3110"/>
      <c r="Z161" s="1706">
        <v>161</v>
      </c>
    </row>
    <row r="162" spans="1:26" s="144" customFormat="1" ht="15" customHeight="1" thickBot="1">
      <c r="B162" s="476" t="s">
        <v>3888</v>
      </c>
      <c r="C162" s="3076" t="s">
        <v>6473</v>
      </c>
      <c r="D162" s="3077"/>
      <c r="E162" s="3077"/>
      <c r="F162" s="3077"/>
      <c r="G162" s="3078"/>
      <c r="H162" s="1216" t="s">
        <v>3838</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6474</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3838</v>
      </c>
      <c r="J171" s="477" t="s">
        <v>3838</v>
      </c>
      <c r="K171" s="477"/>
      <c r="L171" s="649"/>
      <c r="M171" s="482" t="s">
        <v>3838</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3838</v>
      </c>
      <c r="J172" s="478" t="s">
        <v>3838</v>
      </c>
      <c r="K172" s="478"/>
      <c r="L172" s="650"/>
      <c r="M172" s="483" t="s">
        <v>3838</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3838</v>
      </c>
      <c r="J173" s="478" t="s">
        <v>3838</v>
      </c>
      <c r="K173" s="478"/>
      <c r="L173" s="650"/>
      <c r="M173" s="483" t="s">
        <v>3838</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3838</v>
      </c>
      <c r="J174" s="478" t="s">
        <v>3838</v>
      </c>
      <c r="K174" s="478"/>
      <c r="L174" s="650"/>
      <c r="M174" s="483" t="s">
        <v>3838</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3838</v>
      </c>
      <c r="J175" s="478" t="s">
        <v>3838</v>
      </c>
      <c r="K175" s="478"/>
      <c r="L175" s="650"/>
      <c r="M175" s="483" t="s">
        <v>3838</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3838</v>
      </c>
      <c r="J176" s="478" t="s">
        <v>3838</v>
      </c>
      <c r="K176" s="478"/>
      <c r="L176" s="650"/>
      <c r="M176" s="483" t="s">
        <v>3838</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3838</v>
      </c>
      <c r="J177" s="478" t="s">
        <v>3838</v>
      </c>
      <c r="K177" s="478"/>
      <c r="L177" s="650"/>
      <c r="M177" s="483" t="s">
        <v>3838</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3838</v>
      </c>
      <c r="J178" s="478" t="s">
        <v>3838</v>
      </c>
      <c r="K178" s="478"/>
      <c r="L178" s="650"/>
      <c r="M178" s="483" t="s">
        <v>3838</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3838</v>
      </c>
      <c r="J179" s="478" t="s">
        <v>3838</v>
      </c>
      <c r="K179" s="478"/>
      <c r="L179" s="650"/>
      <c r="M179" s="483" t="s">
        <v>3838</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3838</v>
      </c>
      <c r="J180" s="478" t="s">
        <v>3838</v>
      </c>
      <c r="K180" s="478"/>
      <c r="L180" s="650"/>
      <c r="M180" s="483" t="s">
        <v>3838</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3838</v>
      </c>
      <c r="J181" s="478" t="s">
        <v>3838</v>
      </c>
      <c r="K181" s="478"/>
      <c r="L181" s="650"/>
      <c r="M181" s="483" t="s">
        <v>3838</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3838</v>
      </c>
      <c r="J182" s="478" t="s">
        <v>3838</v>
      </c>
      <c r="K182" s="478"/>
      <c r="L182" s="650"/>
      <c r="M182" s="483" t="s">
        <v>3838</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3838</v>
      </c>
      <c r="J183" s="479" t="s">
        <v>3838</v>
      </c>
      <c r="K183" s="479"/>
      <c r="L183" s="651"/>
      <c r="M183" s="484" t="s">
        <v>3838</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Helix</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100402.66980000002</v>
      </c>
      <c r="M4" s="4831"/>
      <c r="N4" s="1493" t="s">
        <v>3663</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18006410</v>
      </c>
      <c r="M11" s="4825"/>
    </row>
    <row r="12" spans="1:14" ht="1.5" customHeight="1">
      <c r="G12" s="617"/>
      <c r="H12" s="617"/>
    </row>
    <row r="13" spans="1:14" ht="25.9"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4080</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13</v>
      </c>
      <c r="G27" s="1585">
        <f>'Part V-Revenues &amp; Expenses'!M58</f>
        <v>50</v>
      </c>
      <c r="H27" s="1585">
        <f>'Part V-Revenues &amp; Expenses'!N58</f>
        <v>0</v>
      </c>
      <c r="I27" s="1585">
        <f>'Part V-Revenues &amp; Expenses'!O58</f>
        <v>0</v>
      </c>
      <c r="J27" s="1586">
        <f>'Part V-Revenues &amp; Expenses'!P58</f>
        <v>63</v>
      </c>
      <c r="K27" s="432"/>
      <c r="S27" s="432"/>
    </row>
    <row r="28" spans="1:19" ht="15" customHeight="1">
      <c r="C28" s="736" t="s">
        <v>112</v>
      </c>
      <c r="D28" s="439"/>
      <c r="E28" s="1584">
        <f>'Part V-Revenues &amp; Expenses'!K59</f>
        <v>0</v>
      </c>
      <c r="F28" s="1585">
        <f>'Part V-Revenues &amp; Expenses'!L59</f>
        <v>5</v>
      </c>
      <c r="G28" s="1585">
        <f>'Part V-Revenues &amp; Expenses'!M59</f>
        <v>12</v>
      </c>
      <c r="H28" s="1585">
        <f>'Part V-Revenues &amp; Expenses'!N59</f>
        <v>0</v>
      </c>
      <c r="I28" s="1585">
        <f>'Part V-Revenues &amp; Expenses'!O59</f>
        <v>0</v>
      </c>
      <c r="J28" s="1586">
        <f>'Part V-Revenues &amp; Expenses'!P59</f>
        <v>17</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18</v>
      </c>
      <c r="G32" s="1579">
        <f>'Part V-Revenues &amp; Expenses'!M63</f>
        <v>62</v>
      </c>
      <c r="H32" s="1579">
        <f>'Part V-Revenues &amp; Expenses'!N63</f>
        <v>0</v>
      </c>
      <c r="I32" s="1579">
        <f>'Part V-Revenues &amp; Expenses'!O63</f>
        <v>0</v>
      </c>
      <c r="J32" s="1588">
        <f>'Part V-Revenues &amp; Expenses'!P63</f>
        <v>80</v>
      </c>
      <c r="K32" s="432"/>
      <c r="S32" s="432"/>
    </row>
    <row r="33" spans="1:12" s="432" customFormat="1" ht="13.15" customHeight="1" thickBot="1">
      <c r="K33" s="1492"/>
    </row>
    <row r="34" spans="1:12" s="432" customFormat="1" ht="14.25" customHeight="1" thickBot="1">
      <c r="A34" s="1492"/>
      <c r="B34" s="4838" t="s">
        <v>6171</v>
      </c>
      <c r="E34" s="4839" t="s">
        <v>6067</v>
      </c>
      <c r="F34" s="4840"/>
      <c r="G34" s="4840"/>
      <c r="H34" s="4840"/>
      <c r="I34" s="4840"/>
      <c r="J34" s="4840"/>
      <c r="K34" s="4840"/>
      <c r="L34" s="4841"/>
    </row>
    <row r="35" spans="1:12" s="432" customFormat="1" ht="14.25" customHeight="1">
      <c r="A35" s="1492"/>
      <c r="B35" s="4838"/>
      <c r="C35" s="4842" t="s">
        <v>6172</v>
      </c>
      <c r="D35" s="4838" t="s">
        <v>6173</v>
      </c>
      <c r="E35" s="4843" t="s">
        <v>6070</v>
      </c>
      <c r="F35" s="4844"/>
      <c r="G35" s="4847" t="s">
        <v>1275</v>
      </c>
      <c r="H35" s="4849" t="s">
        <v>6066</v>
      </c>
      <c r="I35" s="4850"/>
      <c r="J35" s="4850"/>
      <c r="K35" s="4850"/>
      <c r="L35" s="4851"/>
    </row>
    <row r="36" spans="1:12" s="432" customFormat="1" ht="23.25" customHeight="1">
      <c r="A36" s="4842" t="s">
        <v>975</v>
      </c>
      <c r="B36" s="4838"/>
      <c r="C36" s="4842"/>
      <c r="D36" s="4838"/>
      <c r="E36" s="4845"/>
      <c r="F36" s="4846"/>
      <c r="G36" s="4848"/>
      <c r="H36" s="4852" t="s">
        <v>6068</v>
      </c>
      <c r="I36" s="4853"/>
      <c r="J36" s="4856" t="s">
        <v>1275</v>
      </c>
      <c r="K36" s="4853" t="s">
        <v>6069</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15" customHeight="1">
      <c r="A39" s="1571">
        <f>'Part V-Revenues &amp; Expenses'!B18</f>
        <v>50</v>
      </c>
      <c r="B39" s="1572">
        <f>'Part V-Revenues &amp; Expenses'!E18</f>
        <v>5</v>
      </c>
      <c r="C39" s="1573" t="str">
        <f>_xlfn.CONCAT('Part V-Revenues &amp; Expenses'!C18," / ",'Part V-Revenues &amp; Expenses'!D18)</f>
        <v>1 / 1</v>
      </c>
      <c r="D39" s="1572">
        <f>'Part V-Revenues &amp; Expenses'!F18</f>
        <v>668</v>
      </c>
      <c r="E39" s="4836">
        <f>'Part V-Revenues &amp; Expenses'!H18</f>
        <v>904</v>
      </c>
      <c r="F39" s="4837"/>
      <c r="G39" s="439"/>
      <c r="H39" s="4863"/>
      <c r="I39" s="4864"/>
      <c r="J39" s="4864"/>
      <c r="K39" s="4864"/>
      <c r="L39" s="4865"/>
    </row>
    <row r="40" spans="1:12" s="432" customFormat="1" ht="13.15" customHeight="1">
      <c r="A40" s="1574">
        <f>'Part V-Revenues &amp; Expenses'!B19</f>
        <v>50</v>
      </c>
      <c r="B40" s="1575">
        <f>'Part V-Revenues &amp; Expenses'!E19</f>
        <v>12</v>
      </c>
      <c r="C40" s="1576" t="str">
        <f>_xlfn.CONCAT('Part V-Revenues &amp; Expenses'!C19," / ",'Part V-Revenues &amp; Expenses'!D19)</f>
        <v>2 / 2</v>
      </c>
      <c r="D40" s="1575">
        <f>'Part V-Revenues &amp; Expenses'!F19</f>
        <v>933</v>
      </c>
      <c r="E40" s="4834">
        <f>'Part V-Revenues &amp; Expenses'!H19</f>
        <v>1085</v>
      </c>
      <c r="F40" s="4835"/>
      <c r="G40" s="439"/>
      <c r="H40" s="4860"/>
      <c r="I40" s="4861"/>
      <c r="J40" s="4861"/>
      <c r="K40" s="4861"/>
      <c r="L40" s="4862"/>
    </row>
    <row r="41" spans="1:12" s="432" customFormat="1" ht="13.15" customHeight="1">
      <c r="A41" s="1574">
        <f>'Part V-Revenues &amp; Expenses'!B20</f>
        <v>60</v>
      </c>
      <c r="B41" s="1575">
        <f>'Part V-Revenues &amp; Expenses'!E20</f>
        <v>13</v>
      </c>
      <c r="C41" s="1576" t="str">
        <f>_xlfn.CONCAT('Part V-Revenues &amp; Expenses'!C20," / ",'Part V-Revenues &amp; Expenses'!D20)</f>
        <v>1 / 1</v>
      </c>
      <c r="D41" s="1575">
        <f>'Part V-Revenues &amp; Expenses'!F20</f>
        <v>668</v>
      </c>
      <c r="E41" s="4834">
        <f>'Part V-Revenues &amp; Expenses'!H20</f>
        <v>1085</v>
      </c>
      <c r="F41" s="4835"/>
      <c r="G41" s="439"/>
      <c r="H41" s="4860"/>
      <c r="I41" s="4861"/>
      <c r="J41" s="4861"/>
      <c r="K41" s="4861"/>
      <c r="L41" s="4862"/>
    </row>
    <row r="42" spans="1:12" s="432" customFormat="1" ht="13.15" customHeight="1">
      <c r="A42" s="1574">
        <f>'Part V-Revenues &amp; Expenses'!B21</f>
        <v>60</v>
      </c>
      <c r="B42" s="1575">
        <f>'Part V-Revenues &amp; Expenses'!E21</f>
        <v>50</v>
      </c>
      <c r="C42" s="1576" t="str">
        <f>_xlfn.CONCAT('Part V-Revenues &amp; Expenses'!C21," / ",'Part V-Revenues &amp; Expenses'!D21)</f>
        <v>2 / 2</v>
      </c>
      <c r="D42" s="1575">
        <f>'Part V-Revenues &amp; Expenses'!F21</f>
        <v>933</v>
      </c>
      <c r="E42" s="4834">
        <f>'Part V-Revenues &amp; Expenses'!H21</f>
        <v>1302</v>
      </c>
      <c r="F42" s="4835"/>
      <c r="G42" s="439"/>
      <c r="H42" s="4860"/>
      <c r="I42" s="4861"/>
      <c r="J42" s="4861"/>
      <c r="K42" s="4861"/>
      <c r="L42" s="4862"/>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60"/>
      <c r="I43" s="4861"/>
      <c r="J43" s="4861"/>
      <c r="K43" s="4861"/>
      <c r="L43" s="4862"/>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60"/>
      <c r="I44" s="4861"/>
      <c r="J44" s="4861"/>
      <c r="K44" s="4861"/>
      <c r="L44" s="4862"/>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60"/>
      <c r="I45" s="4861"/>
      <c r="J45" s="4861"/>
      <c r="K45" s="4861"/>
      <c r="L45" s="486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60"/>
      <c r="I46" s="4861"/>
      <c r="J46" s="4861"/>
      <c r="K46" s="4861"/>
      <c r="L46" s="486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60"/>
      <c r="I47" s="4861"/>
      <c r="J47" s="4861"/>
      <c r="K47" s="4861"/>
      <c r="L47" s="486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2" t="s">
        <v>3479</v>
      </c>
      <c r="C1" s="4732"/>
      <c r="D1" s="4732"/>
      <c r="E1" s="4732"/>
      <c r="F1" s="4732"/>
      <c r="G1" s="4732"/>
      <c r="H1" s="4732"/>
      <c r="I1" s="4732"/>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2" t="s">
        <v>2889</v>
      </c>
      <c r="C4" s="4882"/>
      <c r="D4" s="4882"/>
      <c r="E4" s="4888" t="s">
        <v>2890</v>
      </c>
      <c r="F4" s="4890"/>
      <c r="G4" s="4888" t="s">
        <v>574</v>
      </c>
      <c r="H4" s="4889"/>
      <c r="I4" s="4890"/>
      <c r="J4" s="1036" t="s">
        <v>2738</v>
      </c>
      <c r="K4" s="1036"/>
      <c r="L4" s="1036"/>
      <c r="M4" s="1036"/>
    </row>
    <row r="5" spans="2:13">
      <c r="B5" s="4883">
        <f>'Closing term sheet'!C8</f>
        <v>0</v>
      </c>
      <c r="C5" s="4884"/>
      <c r="D5" s="4884"/>
      <c r="E5" s="4894"/>
      <c r="F5" s="4895"/>
      <c r="G5" s="4891" t="str">
        <f>'Closing term sheet'!C28</f>
        <v>Helix</v>
      </c>
      <c r="H5" s="4892"/>
      <c r="I5" s="4893"/>
    </row>
    <row r="6" spans="2:13" ht="4.5" customHeight="1">
      <c r="D6" s="1042"/>
      <c r="E6" s="1042"/>
      <c r="F6" s="1042"/>
      <c r="G6" s="1042"/>
      <c r="H6" s="1042"/>
      <c r="I6" s="1042"/>
    </row>
    <row r="7" spans="2:13">
      <c r="B7" s="4885" t="s">
        <v>2891</v>
      </c>
      <c r="C7" s="4885"/>
      <c r="H7" s="4886">
        <f>'Preview term'!E9</f>
        <v>0</v>
      </c>
      <c r="I7" s="4887"/>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4" t="s">
        <v>3487</v>
      </c>
      <c r="I35" s="4869"/>
    </row>
    <row r="36" spans="2:9">
      <c r="B36" s="1059" t="s">
        <v>3486</v>
      </c>
      <c r="C36" s="523"/>
      <c r="D36" s="523"/>
      <c r="F36" s="1258"/>
      <c r="G36" s="617"/>
      <c r="H36" s="4824"/>
      <c r="I36" s="4869"/>
    </row>
    <row r="37" spans="2:9">
      <c r="B37" s="1059" t="s">
        <v>3484</v>
      </c>
      <c r="D37" s="523"/>
      <c r="F37" s="1259"/>
      <c r="G37" s="617"/>
      <c r="H37" s="4824"/>
      <c r="I37" s="4869"/>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76">
        <f>'Closing term sheet'!$C$30</f>
        <v>0</v>
      </c>
      <c r="G48" s="4877"/>
      <c r="H48" s="4877"/>
      <c r="I48" s="4878"/>
    </row>
    <row r="49" spans="2:9">
      <c r="B49" s="1051" t="s">
        <v>2906</v>
      </c>
      <c r="D49" s="523" t="s">
        <v>2907</v>
      </c>
      <c r="F49" s="4879"/>
      <c r="G49" s="4880"/>
      <c r="H49" s="4880"/>
      <c r="I49" s="4881"/>
    </row>
    <row r="50" spans="2:9">
      <c r="B50" s="1051" t="s">
        <v>2908</v>
      </c>
      <c r="F50" s="1042"/>
      <c r="G50" s="1042"/>
      <c r="H50" s="1042"/>
      <c r="I50" s="1065"/>
    </row>
    <row r="51" spans="2:9" ht="7.5" customHeight="1">
      <c r="B51" s="1047"/>
      <c r="I51" s="1049"/>
    </row>
    <row r="52" spans="2:9">
      <c r="B52" s="1066" t="s">
        <v>3489</v>
      </c>
      <c r="C52" s="4898" t="str">
        <f>'Part I-Project Identification'!F26</f>
        <v>Riverdale</v>
      </c>
      <c r="D52" s="4899"/>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14375000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2912</v>
      </c>
      <c r="C61" s="4776"/>
      <c r="D61" s="4776"/>
      <c r="E61" s="4776"/>
      <c r="F61" s="4776"/>
      <c r="G61" s="4776"/>
      <c r="H61" s="4776"/>
      <c r="I61" s="4903"/>
    </row>
    <row r="62" spans="2:9" ht="7.5" customHeight="1">
      <c r="B62" s="4900"/>
      <c r="C62" s="4775"/>
      <c r="D62" s="4775"/>
      <c r="G62" s="1072"/>
      <c r="I62" s="1049"/>
    </row>
    <row r="63" spans="2:9">
      <c r="B63" s="1066" t="s">
        <v>2914</v>
      </c>
      <c r="D63" s="1058">
        <v>4</v>
      </c>
      <c r="G63" s="4885" t="s">
        <v>2913</v>
      </c>
      <c r="H63" s="4885"/>
      <c r="I63" s="490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2925</v>
      </c>
      <c r="C81" s="4776"/>
      <c r="D81" s="4776"/>
      <c r="E81" s="4776"/>
      <c r="F81" s="4776"/>
      <c r="G81" s="4776"/>
      <c r="H81" s="4776"/>
      <c r="I81" s="4903"/>
    </row>
    <row r="82" spans="2:9">
      <c r="B82" s="1047"/>
      <c r="I82" s="1049"/>
    </row>
    <row r="83" spans="2:9">
      <c r="B83" s="1047" t="s">
        <v>2926</v>
      </c>
      <c r="I83" s="1049"/>
    </row>
    <row r="84" spans="2:9">
      <c r="B84" s="1047"/>
      <c r="C84" s="432" t="s">
        <v>2927</v>
      </c>
      <c r="F84" s="4873">
        <f>'Closing term sheet'!D63</f>
        <v>14375000</v>
      </c>
      <c r="G84" s="4873"/>
      <c r="I84" s="1049"/>
    </row>
    <row r="85" spans="2:9">
      <c r="B85" s="1047"/>
      <c r="C85" s="432" t="s">
        <v>2928</v>
      </c>
      <c r="F85" s="4897">
        <f>'Part II-Sources of Funds'!I47+'Part II-Sources of Funds'!L47</f>
        <v>122806.79740629859</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875"/>
      <c r="G88" s="4875"/>
      <c r="I88" s="1049"/>
    </row>
    <row r="89" spans="2:9">
      <c r="B89" s="1047"/>
      <c r="C89" s="560" t="s">
        <v>2932</v>
      </c>
      <c r="F89" s="4871">
        <f>SUM(F84:G88)</f>
        <v>14508806.797406299</v>
      </c>
      <c r="G89" s="4871"/>
      <c r="I89" s="1049"/>
    </row>
    <row r="90" spans="2:9">
      <c r="B90" s="1047"/>
      <c r="F90" s="4872"/>
      <c r="G90" s="4872"/>
      <c r="I90" s="1049"/>
    </row>
    <row r="91" spans="2:9">
      <c r="B91" s="1047" t="s">
        <v>2933</v>
      </c>
      <c r="I91" s="1049"/>
    </row>
    <row r="92" spans="2:9">
      <c r="B92" s="1047"/>
      <c r="C92" s="432" t="s">
        <v>2934</v>
      </c>
      <c r="F92" s="4873"/>
      <c r="G92" s="4873"/>
      <c r="I92" s="1049"/>
    </row>
    <row r="93" spans="2:9">
      <c r="B93" s="1047"/>
      <c r="C93" s="432" t="s">
        <v>2935</v>
      </c>
      <c r="F93" s="4874"/>
      <c r="G93" s="4874"/>
      <c r="I93" s="1049"/>
    </row>
    <row r="94" spans="2:9">
      <c r="B94" s="1047"/>
      <c r="C94" s="432" t="s">
        <v>2936</v>
      </c>
      <c r="F94" s="4870" t="s">
        <v>2813</v>
      </c>
      <c r="G94" s="4870"/>
      <c r="I94" s="1049"/>
    </row>
    <row r="95" spans="2:9">
      <c r="B95" s="1047"/>
      <c r="C95" s="560" t="s">
        <v>2937</v>
      </c>
      <c r="F95" s="4871">
        <f>+SUM(F92:G94)</f>
        <v>0</v>
      </c>
      <c r="G95" s="4871"/>
      <c r="I95" s="1049"/>
    </row>
    <row r="96" spans="2:9">
      <c r="B96" s="1047"/>
      <c r="I96" s="1049"/>
    </row>
    <row r="97" spans="2:9">
      <c r="B97" s="1047" t="s">
        <v>2938</v>
      </c>
      <c r="I97" s="1049"/>
    </row>
    <row r="98" spans="2:9">
      <c r="B98" s="1047"/>
      <c r="C98" s="432" t="s">
        <v>2939</v>
      </c>
      <c r="F98" s="4873"/>
      <c r="G98" s="4873"/>
      <c r="I98" s="1049"/>
    </row>
    <row r="99" spans="2:9">
      <c r="B99" s="1047"/>
      <c r="C99" s="432" t="s">
        <v>2940</v>
      </c>
      <c r="F99" s="4874"/>
      <c r="G99" s="4874"/>
      <c r="I99" s="1049"/>
    </row>
    <row r="100" spans="2:9">
      <c r="B100" s="1047"/>
      <c r="C100" s="432" t="s">
        <v>2941</v>
      </c>
      <c r="F100" s="4875"/>
      <c r="G100" s="4875"/>
      <c r="I100" s="1049"/>
    </row>
    <row r="101" spans="2:9">
      <c r="B101" s="1047"/>
      <c r="C101" s="560" t="s">
        <v>2942</v>
      </c>
      <c r="F101" s="4871">
        <f>+SUM(F98:G100)</f>
        <v>0</v>
      </c>
      <c r="G101" s="4871"/>
      <c r="I101" s="1049"/>
    </row>
    <row r="102" spans="2:9">
      <c r="B102" s="1047"/>
      <c r="I102" s="1049"/>
    </row>
    <row r="103" spans="2:9">
      <c r="B103" s="1066" t="s">
        <v>2943</v>
      </c>
      <c r="F103" s="4870">
        <f>'Part II-Sources of Funds'!I48+'Part II-Sources of Funds'!I49</f>
        <v>0</v>
      </c>
      <c r="G103" s="4870"/>
      <c r="I103" s="1049"/>
    </row>
    <row r="104" spans="2:9">
      <c r="B104" s="1047"/>
      <c r="I104" s="1076" t="s">
        <v>2944</v>
      </c>
    </row>
    <row r="105" spans="2:9">
      <c r="B105" s="1047" t="s">
        <v>2945</v>
      </c>
      <c r="F105" s="4870">
        <f>+F103+F101+F95+F89</f>
        <v>14508806.797406299</v>
      </c>
      <c r="G105" s="487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9" t="s">
        <v>6617</v>
      </c>
      <c r="R11" s="4959"/>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6" t="s">
        <v>3907</v>
      </c>
      <c r="R13" s="4966"/>
      <c r="S13" s="144"/>
      <c r="T13" s="144"/>
      <c r="U13" s="144"/>
      <c r="AA13" s="68"/>
      <c r="AB13" s="68"/>
    </row>
    <row r="14" spans="1:28" s="145" customFormat="1" ht="12.75" hidden="1" customHeight="1">
      <c r="A14" s="147"/>
      <c r="B14" s="147"/>
      <c r="C14" s="147"/>
      <c r="K14" s="236" t="s">
        <v>3908</v>
      </c>
      <c r="L14" s="236"/>
      <c r="N14" s="234"/>
      <c r="O14" s="147"/>
      <c r="P14" s="144"/>
      <c r="Q14" s="4964">
        <v>0.2</v>
      </c>
      <c r="R14" s="4965"/>
      <c r="S14" s="144"/>
      <c r="T14" s="144"/>
      <c r="U14" s="144"/>
      <c r="AA14" s="68"/>
      <c r="AB14" s="68"/>
    </row>
    <row r="15" spans="1:28" s="145" customFormat="1" ht="12.75" hidden="1" customHeight="1">
      <c r="A15" s="147"/>
      <c r="B15" s="147"/>
      <c r="C15" s="147"/>
      <c r="K15" s="236" t="s">
        <v>3909</v>
      </c>
      <c r="L15" s="236"/>
      <c r="N15" s="234"/>
      <c r="O15" s="147"/>
      <c r="P15" s="144"/>
      <c r="Q15" s="4962">
        <v>0.15</v>
      </c>
      <c r="R15" s="4963"/>
      <c r="S15" s="144"/>
      <c r="T15" s="144"/>
      <c r="U15" s="144"/>
      <c r="AA15" s="68"/>
      <c r="AB15" s="68"/>
    </row>
    <row r="16" spans="1:28" s="145" customFormat="1" ht="12.75" hidden="1" customHeight="1">
      <c r="A16" s="147"/>
      <c r="B16" s="147"/>
      <c r="C16" s="147"/>
      <c r="K16" s="236" t="s">
        <v>3910</v>
      </c>
      <c r="L16" s="236"/>
      <c r="N16" s="234"/>
      <c r="O16" s="147"/>
      <c r="P16" s="144"/>
      <c r="Q16" s="4962">
        <v>0.15</v>
      </c>
      <c r="R16" s="4963"/>
      <c r="S16" s="144"/>
      <c r="T16" s="144"/>
      <c r="U16" s="144"/>
      <c r="AA16" s="68"/>
      <c r="AB16" s="68"/>
    </row>
    <row r="17" spans="1:28" s="145" customFormat="1" ht="12.75" hidden="1" customHeight="1">
      <c r="A17" s="147"/>
      <c r="B17" s="147"/>
      <c r="C17" s="147"/>
      <c r="K17" s="236" t="s">
        <v>3911</v>
      </c>
      <c r="L17" s="236"/>
      <c r="N17" s="234"/>
      <c r="O17" s="147"/>
      <c r="P17" s="144"/>
      <c r="Q17" s="4962">
        <v>0.1</v>
      </c>
      <c r="R17" s="4963"/>
      <c r="S17" s="144"/>
      <c r="T17" s="144"/>
      <c r="U17" s="144"/>
      <c r="AA17" s="68"/>
      <c r="AB17" s="68"/>
    </row>
    <row r="18" spans="1:28" s="145" customFormat="1" ht="12.75" hidden="1" customHeight="1">
      <c r="A18" s="147"/>
      <c r="B18" s="147"/>
      <c r="C18" s="147"/>
      <c r="K18" s="236" t="s">
        <v>3912</v>
      </c>
      <c r="L18" s="236"/>
      <c r="N18" s="234"/>
      <c r="O18" s="147"/>
      <c r="P18" s="144"/>
      <c r="Q18" s="4960">
        <v>0.1</v>
      </c>
      <c r="R18" s="496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33">
        <v>2500</v>
      </c>
      <c r="R44" s="4934"/>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33">
        <v>2500</v>
      </c>
      <c r="R45" s="4934"/>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33">
        <v>2000</v>
      </c>
      <c r="R46" s="4934"/>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35">
        <v>1500</v>
      </c>
      <c r="R47" s="4936"/>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33">
        <v>6500</v>
      </c>
      <c r="R48" s="4934"/>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33">
        <v>5500</v>
      </c>
      <c r="R49" s="4934"/>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33">
        <v>500</v>
      </c>
      <c r="R50" s="4934"/>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33">
        <v>10000</v>
      </c>
      <c r="R51" s="493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33">
        <v>1500</v>
      </c>
      <c r="R53" s="4934"/>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33">
        <v>1500</v>
      </c>
      <c r="R54" s="4934"/>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33">
        <v>2500</v>
      </c>
      <c r="R55" s="4934"/>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69">
        <v>0.08</v>
      </c>
      <c r="R56" s="4969"/>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69">
        <v>0.08</v>
      </c>
      <c r="R57" s="4969"/>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33">
        <v>8000</v>
      </c>
      <c r="R58" s="4934"/>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33"/>
      <c r="R59" s="4934"/>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31">
        <v>1000</v>
      </c>
      <c r="R61" s="4932"/>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31">
        <v>800</v>
      </c>
      <c r="R62" s="493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617">
        <v>750</v>
      </c>
      <c r="R64" s="4618"/>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3915</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1">
        <v>0.15</v>
      </c>
      <c r="R79" s="4942"/>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53">
        <v>0.02</v>
      </c>
      <c r="R98" s="495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47">
        <v>1225000</v>
      </c>
      <c r="R107" s="4947"/>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48">
        <v>1105000</v>
      </c>
      <c r="R108" s="4948"/>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43">
        <v>1225000</v>
      </c>
      <c r="R109" s="4943"/>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43">
        <v>1105000</v>
      </c>
      <c r="R110" s="4943"/>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50">
        <v>1105000</v>
      </c>
      <c r="R111" s="4951"/>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44">
        <v>1150000</v>
      </c>
      <c r="R112" s="4944"/>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16" t="s">
        <v>6760</v>
      </c>
      <c r="R113" s="4916"/>
      <c r="S113" s="230"/>
      <c r="T113" s="230"/>
      <c r="U113" s="144"/>
      <c r="V113" s="322"/>
      <c r="W113" s="322"/>
      <c r="X113" s="322"/>
      <c r="AA113" s="68"/>
      <c r="AB113" s="68"/>
    </row>
    <row r="114" spans="1:28" ht="12.75" customHeight="1">
      <c r="G114" s="2009"/>
      <c r="H114" s="147" t="s">
        <v>2392</v>
      </c>
      <c r="J114" s="4926">
        <v>0.35</v>
      </c>
      <c r="K114" s="4926"/>
      <c r="L114" s="147"/>
      <c r="M114" s="147"/>
      <c r="N114" s="147"/>
      <c r="O114" s="147"/>
      <c r="P114" s="144"/>
      <c r="Q114" s="4949">
        <v>1105000</v>
      </c>
      <c r="R114" s="4949"/>
    </row>
    <row r="115" spans="1:28" ht="11.25" customHeight="1">
      <c r="G115" s="147"/>
      <c r="H115" s="147" t="s">
        <v>6100</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45"/>
      <c r="R118" s="494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30">
        <v>4000000</v>
      </c>
      <c r="R119" s="4930"/>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6756</v>
      </c>
      <c r="B125" s="4904"/>
      <c r="C125" s="2002"/>
      <c r="D125" s="4913"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5">
      <c r="A127" s="4904"/>
      <c r="B127" s="4904"/>
      <c r="C127" s="147"/>
      <c r="D127" s="4914"/>
      <c r="H127" s="4928" t="s">
        <v>6754</v>
      </c>
      <c r="J127" s="142" t="s">
        <v>748</v>
      </c>
      <c r="K127" s="142"/>
      <c r="L127" s="223"/>
    </row>
    <row r="128" spans="1:28" ht="13.5">
      <c r="C128" s="715" t="s">
        <v>751</v>
      </c>
      <c r="D128" s="1304" t="s">
        <v>2995</v>
      </c>
      <c r="F128" s="715" t="s">
        <v>6752</v>
      </c>
      <c r="H128" s="4929"/>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3401</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4057</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3961</v>
      </c>
      <c r="D303" s="4908" t="s">
        <v>3962</v>
      </c>
      <c r="E303" s="4908" t="s">
        <v>3963</v>
      </c>
      <c r="F303" s="4908" t="s">
        <v>3964</v>
      </c>
      <c r="G303" s="4905" t="s">
        <v>3961</v>
      </c>
      <c r="H303" s="4908" t="s">
        <v>3962</v>
      </c>
      <c r="I303" s="4908" t="s">
        <v>3963</v>
      </c>
      <c r="J303" s="4908" t="s">
        <v>3964</v>
      </c>
      <c r="L303" s="4905" t="s">
        <v>3961</v>
      </c>
      <c r="M303" s="4908" t="s">
        <v>3962</v>
      </c>
      <c r="N303" s="4908" t="s">
        <v>3963</v>
      </c>
      <c r="O303" s="4908" t="s">
        <v>3964</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3" t="str">
        <f>CONCATENATE("PART ONE - PROJECT INFORMATION"," - ",$O$7," ",$F$25,", ",'Part I-Project Identification'!F25,", ",'Part I-Project Identification'!J25," County")</f>
        <v>PART ONE - PROJECT INFORMATION -  Riverdale, Helix,  County</v>
      </c>
      <c r="B1" s="2613"/>
      <c r="C1" s="2613"/>
      <c r="D1" s="2613"/>
      <c r="E1" s="2613"/>
      <c r="F1" s="2613"/>
      <c r="G1" s="2613"/>
      <c r="H1" s="2613"/>
      <c r="I1" s="2613"/>
      <c r="J1" s="2613"/>
      <c r="K1" s="2613"/>
      <c r="L1" s="2613"/>
      <c r="M1" s="2613"/>
      <c r="N1" s="2613"/>
      <c r="O1" s="2613"/>
      <c r="P1" s="2613"/>
    </row>
    <row r="2" spans="1:26">
      <c r="A2" s="2614"/>
      <c r="B2" s="2614"/>
      <c r="C2" s="2614"/>
      <c r="D2" s="2614"/>
      <c r="E2" s="2614"/>
      <c r="F2" s="2614"/>
      <c r="G2" s="2614"/>
      <c r="H2" s="2614"/>
      <c r="I2" s="2614"/>
      <c r="J2" s="2614"/>
      <c r="K2" s="2614"/>
      <c r="L2" s="2614"/>
      <c r="M2" s="2614"/>
      <c r="N2" s="2614"/>
      <c r="O2" s="2614"/>
      <c r="P2" s="2614"/>
    </row>
    <row r="3" spans="1:26" ht="12.75" customHeight="1">
      <c r="A3" s="2615" t="s">
        <v>6948</v>
      </c>
      <c r="B3" s="2615"/>
      <c r="C3" s="2615"/>
      <c r="D3" s="2615"/>
      <c r="E3" s="2615"/>
      <c r="F3" s="2615"/>
      <c r="G3" s="2615"/>
      <c r="H3" s="2615"/>
      <c r="I3" s="2615"/>
      <c r="J3" s="2615"/>
      <c r="K3" s="2615"/>
      <c r="L3" s="2615"/>
      <c r="M3" s="2615"/>
      <c r="N3" s="2615"/>
      <c r="O3" s="2615"/>
      <c r="P3" s="2615"/>
    </row>
    <row r="4" spans="1:26">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9"/>
      <c r="F5" s="2614"/>
      <c r="G5" s="2618" t="s">
        <v>6949</v>
      </c>
      <c r="H5" s="1819"/>
      <c r="I5" s="1819"/>
      <c r="J5" s="1819"/>
      <c r="K5" s="1819"/>
      <c r="L5" s="2614"/>
      <c r="M5" s="1819"/>
      <c r="N5" s="1819"/>
      <c r="O5" s="1819"/>
      <c r="P5" s="2619" t="s">
        <v>3289</v>
      </c>
    </row>
    <row r="6" spans="1:26" ht="14.25" customHeight="1">
      <c r="A6" s="2617"/>
      <c r="B6" s="2617"/>
      <c r="C6" s="2617"/>
      <c r="D6" s="2617"/>
      <c r="E6" s="2620"/>
      <c r="F6" s="2614"/>
      <c r="G6" s="2618" t="s">
        <v>6950</v>
      </c>
      <c r="H6" s="1622"/>
      <c r="I6" s="1622"/>
      <c r="J6" s="1622"/>
      <c r="K6" s="1819"/>
      <c r="L6" s="1819"/>
      <c r="M6" s="1819"/>
      <c r="N6" s="1819"/>
      <c r="O6" s="2613" t="str">
        <f>'Part I-Project Identification'!O7</f>
        <v>2023-0</v>
      </c>
      <c r="P6" s="2613"/>
    </row>
    <row r="7" spans="1:26" ht="12.75" customHeight="1">
      <c r="A7" s="2617"/>
      <c r="B7" s="2617"/>
      <c r="C7" s="2617"/>
      <c r="D7" s="2617"/>
      <c r="E7" s="2620"/>
      <c r="F7" s="2613"/>
      <c r="G7" s="2621" t="s">
        <v>2959</v>
      </c>
      <c r="H7" s="1622"/>
      <c r="I7" s="1622"/>
      <c r="J7" s="1622"/>
      <c r="K7" s="1819"/>
      <c r="L7" s="1819"/>
      <c r="M7" s="1819"/>
      <c r="N7" s="1819"/>
      <c r="O7" s="1819"/>
      <c r="P7" s="1819"/>
    </row>
    <row r="8" spans="1:26">
      <c r="A8" s="2614"/>
      <c r="B8" s="1819"/>
      <c r="C8" s="1819"/>
      <c r="D8" s="1819"/>
      <c r="E8" s="1622"/>
      <c r="F8" s="1819"/>
      <c r="G8" s="1819"/>
      <c r="H8" s="1622"/>
      <c r="I8" s="1622"/>
      <c r="J8" s="1819"/>
      <c r="K8" s="1819"/>
      <c r="L8" s="1819"/>
      <c r="M8" s="1622"/>
      <c r="N8" s="1819"/>
      <c r="O8" s="1819"/>
      <c r="P8" s="1819"/>
    </row>
    <row r="9" spans="1:26">
      <c r="A9" s="2613" t="s">
        <v>573</v>
      </c>
      <c r="B9" s="2613" t="s">
        <v>2192</v>
      </c>
      <c r="C9" s="1819"/>
      <c r="D9" s="378"/>
      <c r="E9" s="1622"/>
      <c r="F9" s="2622" t="s">
        <v>3266</v>
      </c>
      <c r="G9" s="1819"/>
      <c r="H9" s="1819"/>
      <c r="I9" s="2542">
        <f>'Part III-A-Uses of Funds'!$J$191</f>
        <v>1225000</v>
      </c>
      <c r="J9" s="2542"/>
      <c r="K9" s="1819"/>
      <c r="L9" s="1819" t="s">
        <v>3267</v>
      </c>
      <c r="M9" s="1819"/>
      <c r="N9" s="1819"/>
      <c r="O9" s="2543">
        <f>'Part II-Sources of Funds'!$I$6</f>
        <v>0</v>
      </c>
      <c r="P9" s="2543"/>
    </row>
    <row r="10" spans="1:26">
      <c r="A10" s="2613"/>
      <c r="B10" s="2613"/>
      <c r="C10" s="1819"/>
      <c r="D10" s="378"/>
      <c r="E10" s="1622"/>
      <c r="F10" s="1622"/>
      <c r="G10" s="1819"/>
      <c r="H10" s="1819"/>
      <c r="I10" s="2623"/>
      <c r="J10" s="1819"/>
      <c r="K10" s="1819"/>
      <c r="L10" s="1819"/>
      <c r="M10" s="1819"/>
      <c r="N10" s="2624"/>
      <c r="O10" s="1819"/>
      <c r="P10" s="1819"/>
    </row>
    <row r="11" spans="1:26" ht="13.5">
      <c r="A11" s="2623" t="s">
        <v>689</v>
      </c>
      <c r="B11" s="2613" t="s">
        <v>1891</v>
      </c>
      <c r="C11" s="1819"/>
      <c r="D11" s="1819"/>
      <c r="E11" s="1819"/>
      <c r="F11" s="2625" t="str">
        <f>'Part I-Project Identification'!F12</f>
        <v>9% Credit Competitive Round only</v>
      </c>
      <c r="G11" s="2625"/>
      <c r="H11" s="2625"/>
      <c r="I11" s="2626" t="s">
        <v>6951</v>
      </c>
      <c r="J11" s="2613" t="s">
        <v>6952</v>
      </c>
      <c r="K11" s="2613"/>
      <c r="L11" s="1622"/>
      <c r="M11" s="1819"/>
      <c r="N11" s="1819"/>
      <c r="O11" s="1819" t="str">
        <f>'Part I-Project Identification'!O12</f>
        <v>2023PA-012</v>
      </c>
      <c r="P11" s="1819"/>
    </row>
    <row r="12" spans="1:26">
      <c r="A12" s="2614"/>
      <c r="B12" s="378"/>
      <c r="C12" s="378"/>
      <c r="D12" s="378"/>
      <c r="E12" s="378"/>
      <c r="F12" s="1819"/>
      <c r="G12" s="1819"/>
      <c r="H12" s="1622"/>
      <c r="I12" s="1819"/>
      <c r="J12" s="2622"/>
      <c r="K12" s="2623"/>
      <c r="L12" s="1819"/>
      <c r="M12" s="1622"/>
      <c r="N12" s="1819"/>
      <c r="O12" s="1819"/>
      <c r="P12" s="1819"/>
    </row>
    <row r="13" spans="1:26">
      <c r="A13" s="2623" t="s">
        <v>691</v>
      </c>
      <c r="B13" s="2613" t="s">
        <v>3672</v>
      </c>
      <c r="C13" s="1819"/>
      <c r="D13" s="2622"/>
      <c r="E13" s="1622"/>
      <c r="F13" s="1819"/>
      <c r="G13" s="1622"/>
      <c r="H13" s="1622"/>
      <c r="I13" s="1622"/>
      <c r="J13" s="1819"/>
      <c r="K13" s="1819"/>
      <c r="L13" s="2624"/>
      <c r="M13" s="1819"/>
      <c r="N13" s="1819"/>
      <c r="O13" s="1819"/>
      <c r="P13" s="1819"/>
    </row>
    <row r="14" spans="1:26">
      <c r="A14" s="1819"/>
      <c r="B14" s="1819" t="s">
        <v>3295</v>
      </c>
      <c r="C14" s="1819"/>
      <c r="D14" s="1819"/>
      <c r="E14" s="1819"/>
      <c r="F14" s="1819" t="str">
        <f>'Part I-Project Identification'!F15</f>
        <v>Talon Development LLC</v>
      </c>
      <c r="G14" s="1819"/>
      <c r="H14" s="1819"/>
      <c r="I14" s="1819" t="s">
        <v>1670</v>
      </c>
      <c r="J14" s="1819" t="str">
        <f>'Part I-Project Identification'!J15</f>
        <v>Devin Blankenship</v>
      </c>
      <c r="K14" s="1819"/>
      <c r="L14" s="1819"/>
      <c r="M14" s="2622" t="s">
        <v>1839</v>
      </c>
      <c r="N14" s="1819" t="str">
        <f>'Part I-Project Identification'!N15</f>
        <v>Partner</v>
      </c>
      <c r="O14" s="1819"/>
      <c r="P14" s="1819"/>
    </row>
    <row r="15" spans="1:26" s="1819" customFormat="1" ht="12.75" customHeight="1">
      <c r="B15" s="2622" t="s">
        <v>1599</v>
      </c>
      <c r="F15" s="2627">
        <f>'Part I-Project Identification'!F16</f>
        <v>7707434124</v>
      </c>
      <c r="G15" s="2627"/>
      <c r="H15" s="2627"/>
      <c r="I15" s="2622" t="s">
        <v>1598</v>
      </c>
      <c r="J15" s="2628">
        <f>'Part I-Project Identification'!J16</f>
        <v>2</v>
      </c>
      <c r="M15" s="2622" t="s">
        <v>1600</v>
      </c>
      <c r="N15" s="2627">
        <f>'Part I-Project Identification'!N16</f>
        <v>6785928103</v>
      </c>
      <c r="O15" s="2627"/>
      <c r="P15" s="2627"/>
      <c r="Q15" s="357"/>
      <c r="R15" s="357"/>
      <c r="S15" s="357"/>
      <c r="V15" s="2629"/>
      <c r="W15" s="2629"/>
      <c r="X15" s="2629"/>
      <c r="Z15" s="1622">
        <v>18</v>
      </c>
    </row>
    <row r="16" spans="1:26" s="1819" customFormat="1">
      <c r="B16" s="2622" t="s">
        <v>1842</v>
      </c>
      <c r="F16" s="2630" t="str">
        <f>'Part I-Project Identification'!F17</f>
        <v>Devin@TalonDevelopmentLLC.com</v>
      </c>
      <c r="G16" s="2630"/>
      <c r="H16" s="2630"/>
      <c r="I16" s="2630"/>
      <c r="J16" s="2630"/>
      <c r="K16" s="2630"/>
      <c r="L16" s="2630"/>
      <c r="M16" s="2622" t="s">
        <v>1838</v>
      </c>
      <c r="N16" s="2627">
        <f>'Part I-Project Identification'!N17</f>
        <v>6785928103</v>
      </c>
      <c r="O16" s="2627"/>
      <c r="P16" s="2627"/>
      <c r="Q16" s="357"/>
      <c r="R16" s="357"/>
      <c r="S16" s="357"/>
      <c r="U16" s="2629"/>
      <c r="V16" s="2629"/>
      <c r="W16" s="2629"/>
      <c r="X16" s="2629"/>
      <c r="Z16" s="1622">
        <v>19</v>
      </c>
    </row>
    <row r="17" spans="1:26">
      <c r="A17" s="2614"/>
      <c r="B17" s="2613"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Talon Development LLC</v>
      </c>
      <c r="G18" s="1819"/>
      <c r="H18" s="1819"/>
      <c r="I18" s="1819" t="s">
        <v>1670</v>
      </c>
      <c r="J18" s="1819" t="str">
        <f>'Part I-Project Identification'!J19</f>
        <v>Kenneth Blankenship</v>
      </c>
      <c r="K18" s="1819"/>
      <c r="L18" s="1819"/>
      <c r="M18" s="2622" t="s">
        <v>1839</v>
      </c>
      <c r="N18" s="1819" t="str">
        <f>'Part I-Project Identification'!N19</f>
        <v>Partner</v>
      </c>
      <c r="O18" s="1819"/>
      <c r="P18" s="1819"/>
    </row>
    <row r="19" spans="1:26" s="1819" customFormat="1" ht="12.75" customHeight="1">
      <c r="B19" s="2622" t="s">
        <v>1599</v>
      </c>
      <c r="F19" s="2627">
        <f>'Part I-Project Identification'!F20</f>
        <v>7707434124</v>
      </c>
      <c r="G19" s="2627"/>
      <c r="H19" s="2627"/>
      <c r="I19" s="2622" t="s">
        <v>1598</v>
      </c>
      <c r="J19" s="2628">
        <f>'Part I-Project Identification'!J20</f>
        <v>3</v>
      </c>
      <c r="M19" s="2622" t="s">
        <v>1600</v>
      </c>
      <c r="N19" s="2627">
        <f>'Part I-Project Identification'!N20</f>
        <v>7708619049</v>
      </c>
      <c r="O19" s="2627"/>
      <c r="P19" s="2627"/>
      <c r="Q19" s="357"/>
      <c r="R19" s="357"/>
      <c r="S19" s="357"/>
      <c r="V19" s="2629"/>
      <c r="W19" s="2629"/>
      <c r="X19" s="2629"/>
      <c r="Z19" s="1622">
        <v>18</v>
      </c>
    </row>
    <row r="20" spans="1:26" s="1819" customFormat="1">
      <c r="B20" s="2622" t="s">
        <v>1842</v>
      </c>
      <c r="F20" s="2630" t="str">
        <f>'Part I-Project Identification'!F21</f>
        <v>Ken@TalonDevelopmentLLC.com</v>
      </c>
      <c r="G20" s="2630"/>
      <c r="H20" s="2630"/>
      <c r="I20" s="2630"/>
      <c r="J20" s="2630"/>
      <c r="K20" s="2630"/>
      <c r="L20" s="2630"/>
      <c r="M20" s="2622" t="s">
        <v>1838</v>
      </c>
      <c r="N20" s="2627">
        <f>'Part I-Project Identification'!N21</f>
        <v>7708619049</v>
      </c>
      <c r="O20" s="2627"/>
      <c r="P20" s="2627"/>
      <c r="Q20" s="357"/>
      <c r="R20" s="357"/>
      <c r="S20" s="357"/>
      <c r="U20" s="2629"/>
      <c r="V20" s="2629"/>
      <c r="W20" s="2629"/>
      <c r="X20" s="2629"/>
      <c r="Z20" s="1622">
        <v>19</v>
      </c>
    </row>
    <row r="21" spans="1:26">
      <c r="A21" s="1819"/>
      <c r="B21" s="1819"/>
      <c r="C21" s="1819"/>
      <c r="D21" s="1819"/>
      <c r="E21" s="1819"/>
      <c r="F21" s="1819"/>
      <c r="G21" s="1819"/>
      <c r="H21" s="1819"/>
      <c r="I21" s="378"/>
      <c r="J21" s="378"/>
      <c r="K21" s="378"/>
      <c r="L21" s="378"/>
      <c r="M21" s="378"/>
      <c r="N21" s="378"/>
      <c r="O21" s="378"/>
      <c r="P21" s="378"/>
    </row>
    <row r="22" spans="1:26">
      <c r="A22" s="2623" t="s">
        <v>1666</v>
      </c>
      <c r="B22" s="2613" t="s">
        <v>1381</v>
      </c>
      <c r="C22" s="1819"/>
      <c r="D22" s="378"/>
      <c r="E22" s="1622"/>
      <c r="F22" s="1622"/>
      <c r="G22" s="2622"/>
      <c r="H22" s="1622"/>
      <c r="I22" s="1622"/>
      <c r="J22" s="1622"/>
      <c r="K22" s="1819"/>
      <c r="L22" s="1819"/>
      <c r="M22" s="1819"/>
      <c r="N22" s="1819"/>
      <c r="O22" s="1819"/>
      <c r="P22" s="1819"/>
    </row>
    <row r="23" spans="1:26">
      <c r="A23" s="2623"/>
      <c r="B23" s="2613"/>
      <c r="C23" s="1819"/>
      <c r="D23" s="378"/>
      <c r="E23" s="1622"/>
      <c r="F23" s="1622"/>
      <c r="G23" s="2622"/>
      <c r="H23" s="1622"/>
      <c r="I23" s="1622"/>
      <c r="J23" s="1622"/>
      <c r="K23" s="1819"/>
      <c r="L23" s="2624"/>
      <c r="M23" s="2624"/>
      <c r="N23" s="1819"/>
      <c r="O23" s="1819"/>
      <c r="P23" s="1819"/>
    </row>
    <row r="24" spans="1:26">
      <c r="A24" s="2613"/>
      <c r="B24" s="1819" t="s">
        <v>574</v>
      </c>
      <c r="C24" s="1819"/>
      <c r="D24" s="2613"/>
      <c r="E24" s="1819"/>
      <c r="F24" s="1819" t="str">
        <f>'Part I-Project Identification'!F25</f>
        <v>Helix</v>
      </c>
      <c r="G24" s="1819"/>
      <c r="H24" s="1819"/>
      <c r="I24" s="1819"/>
      <c r="J24" s="1819"/>
      <c r="K24" s="1819"/>
      <c r="L24" s="1819"/>
      <c r="M24" s="2622" t="s">
        <v>425</v>
      </c>
      <c r="N24" s="1819"/>
      <c r="O24" s="1819"/>
      <c r="P24" s="2544" t="str">
        <f>'Part I-Project Identification'!P25</f>
        <v>No</v>
      </c>
    </row>
    <row r="25" spans="1:26">
      <c r="A25" s="2614"/>
      <c r="B25" s="1819" t="s">
        <v>575</v>
      </c>
      <c r="C25" s="1819"/>
      <c r="D25" s="1819"/>
      <c r="E25" s="1819"/>
      <c r="F25" s="1819" t="str">
        <f>'Part I-Project Identification'!F26</f>
        <v>Riverdale</v>
      </c>
      <c r="G25" s="1819"/>
      <c r="H25" s="1819"/>
      <c r="I25" s="2631" t="s">
        <v>576</v>
      </c>
      <c r="J25" s="1819" t="str">
        <f>'Part I-Project Identification'!J26</f>
        <v>Clayton</v>
      </c>
      <c r="K25" s="1819"/>
      <c r="L25" s="1819"/>
      <c r="M25" s="2622" t="s">
        <v>426</v>
      </c>
      <c r="N25" s="1819"/>
      <c r="O25" s="1819"/>
      <c r="P25" s="2544" t="str">
        <f>'Part I-Project Identification'!P26</f>
        <v>No</v>
      </c>
    </row>
    <row r="26" spans="1:26" ht="13.5">
      <c r="A26" s="2614"/>
      <c r="B26" s="1819" t="s">
        <v>3906</v>
      </c>
      <c r="C26" s="2632"/>
      <c r="D26" s="1681"/>
      <c r="E26" s="1681"/>
      <c r="F26" s="1819" t="str">
        <f>'Part I-Project Identification'!F27</f>
        <v>Unincorporated County</v>
      </c>
      <c r="G26" s="1819"/>
      <c r="H26" s="1819"/>
      <c r="I26" s="1622"/>
      <c r="J26" s="379" t="s">
        <v>6723</v>
      </c>
      <c r="K26" s="1622"/>
      <c r="L26" s="1819"/>
      <c r="M26" s="2622" t="s">
        <v>6666</v>
      </c>
      <c r="N26" s="1819"/>
      <c r="O26" s="2633">
        <f>'Part I-Project Identification'!O27</f>
        <v>11.57</v>
      </c>
      <c r="P26" s="2633"/>
    </row>
    <row r="27" spans="1:26">
      <c r="A27" s="2614"/>
      <c r="B27" s="1819" t="s">
        <v>1455</v>
      </c>
      <c r="C27" s="1819"/>
      <c r="D27" s="1819"/>
      <c r="E27" s="1819"/>
      <c r="F27" s="2622" t="str">
        <f>'Part I-Project Identification'!F28</f>
        <v>No</v>
      </c>
      <c r="G27" s="1819"/>
      <c r="H27" s="1819"/>
      <c r="I27" s="1622"/>
      <c r="J27" s="1622" t="s">
        <v>2499</v>
      </c>
      <c r="K27" s="1622" t="str">
        <f>IF(F27="Yes","Rural","Urban")</f>
        <v>Urban</v>
      </c>
      <c r="L27" s="1819"/>
      <c r="M27" s="2622" t="s">
        <v>2399</v>
      </c>
      <c r="N27" s="2614" t="str">
        <f>'Part I-Project Identification'!N28</f>
        <v>MSA</v>
      </c>
      <c r="O27" s="1819" t="str">
        <f>'Part I-Project Identification'!O28</f>
        <v>Atlanta-Sandy Springs-Marietta</v>
      </c>
      <c r="P27" s="1819"/>
    </row>
    <row r="28" spans="1:26">
      <c r="A28" s="2614"/>
      <c r="B28" s="2614"/>
      <c r="C28" s="2632"/>
      <c r="D28" s="1681"/>
      <c r="E28" s="1681"/>
      <c r="F28" s="1622"/>
      <c r="G28" s="1622"/>
      <c r="H28" s="1622"/>
      <c r="I28" s="1622"/>
      <c r="J28" s="1681"/>
      <c r="K28" s="1622"/>
      <c r="L28" s="1622"/>
      <c r="M28" s="1819"/>
      <c r="N28" s="1819"/>
      <c r="O28" s="1819"/>
      <c r="P28" s="1622"/>
    </row>
    <row r="29" spans="1:26">
      <c r="A29" s="2623" t="s">
        <v>1668</v>
      </c>
      <c r="B29" s="2623" t="s">
        <v>6653</v>
      </c>
      <c r="C29" s="1819"/>
      <c r="D29" s="377"/>
      <c r="E29" s="377"/>
      <c r="F29" s="377"/>
      <c r="G29" s="1622"/>
      <c r="H29" s="1622"/>
      <c r="I29" s="1622"/>
      <c r="J29" s="1681"/>
      <c r="K29" s="1622"/>
      <c r="L29" s="1622"/>
      <c r="M29" s="1819"/>
      <c r="N29" s="1819"/>
      <c r="O29" s="1819"/>
      <c r="P29" s="2634"/>
    </row>
    <row r="30" spans="1:26">
      <c r="A30" s="2614"/>
      <c r="B30" s="2614"/>
      <c r="C30" s="1819"/>
      <c r="D30" s="1819"/>
      <c r="E30" s="1819"/>
      <c r="F30" s="1819"/>
      <c r="G30" s="1819"/>
      <c r="H30" s="1819"/>
      <c r="I30" s="1819"/>
      <c r="J30" s="1819"/>
      <c r="K30" s="1819"/>
      <c r="L30" s="1819"/>
      <c r="M30" s="2622"/>
      <c r="N30" s="2635"/>
      <c r="O30" s="2635"/>
      <c r="P30" s="2545"/>
    </row>
    <row r="31" spans="1:26">
      <c r="A31" s="2614"/>
      <c r="B31" s="2623" t="s">
        <v>6652</v>
      </c>
      <c r="C31" s="1819"/>
      <c r="D31" s="2636"/>
      <c r="E31" s="2636"/>
      <c r="F31" s="2636"/>
      <c r="G31" s="2636"/>
      <c r="H31" s="1622"/>
      <c r="I31" s="1819"/>
      <c r="J31" s="378"/>
      <c r="K31" s="1681"/>
      <c r="L31" s="1819"/>
      <c r="M31" s="1819"/>
      <c r="N31" s="1819"/>
      <c r="O31" s="1819"/>
      <c r="P31" s="1622"/>
    </row>
    <row r="32" spans="1:26">
      <c r="A32" s="2614"/>
      <c r="B32" s="2614"/>
      <c r="C32" s="2623"/>
      <c r="D32" s="2636"/>
      <c r="E32" s="2636"/>
      <c r="F32" s="2636"/>
      <c r="G32" s="2636"/>
      <c r="H32" s="1622"/>
      <c r="I32" s="1819"/>
      <c r="J32" s="378"/>
      <c r="K32" s="1681"/>
      <c r="L32" s="1819"/>
      <c r="M32" s="1819"/>
      <c r="N32" s="1819"/>
      <c r="O32" s="1819"/>
      <c r="P32" s="1622"/>
    </row>
    <row r="33" spans="1:17" ht="13.5">
      <c r="A33" s="2614"/>
      <c r="B33" s="2614"/>
      <c r="C33" s="1819" t="s">
        <v>1208</v>
      </c>
      <c r="D33" s="2625"/>
      <c r="E33" s="1819"/>
      <c r="F33" s="1819"/>
      <c r="G33" s="1819"/>
      <c r="H33" s="1819"/>
      <c r="I33" s="1681"/>
      <c r="J33" s="1819"/>
      <c r="K33" s="2613"/>
      <c r="L33" s="1819" t="s">
        <v>3086</v>
      </c>
      <c r="M33" s="1819"/>
      <c r="N33" s="1819"/>
      <c r="O33" s="1819"/>
      <c r="P33" s="1681"/>
    </row>
    <row r="34" spans="1:17">
      <c r="A34" s="2614"/>
      <c r="B34" s="2613"/>
      <c r="C34" s="1819" t="s">
        <v>3932</v>
      </c>
      <c r="D34" s="1819"/>
      <c r="E34" s="1819"/>
      <c r="F34" s="1819"/>
      <c r="G34" s="1819"/>
      <c r="H34" s="1819"/>
      <c r="I34" s="1681"/>
      <c r="J34" s="2631" t="s">
        <v>2483</v>
      </c>
      <c r="K34" s="1819"/>
      <c r="L34" s="1819"/>
      <c r="M34" s="1819"/>
      <c r="N34" s="1819"/>
      <c r="O34" s="2637"/>
      <c r="P34" s="2637"/>
    </row>
    <row r="35" spans="1:17">
      <c r="A35" s="2614"/>
      <c r="B35" s="2613"/>
      <c r="C35" s="1819" t="s">
        <v>1676</v>
      </c>
      <c r="D35" s="1819"/>
      <c r="E35" s="1819"/>
      <c r="F35" s="1819"/>
      <c r="G35" s="1819"/>
      <c r="H35" s="1819"/>
      <c r="I35" s="1681" t="str">
        <f>'Part I-Project Identification'!I36</f>
        <v>No</v>
      </c>
      <c r="J35" s="2631" t="s">
        <v>2483</v>
      </c>
      <c r="K35" s="1819"/>
      <c r="L35" s="1819"/>
      <c r="M35" s="1819"/>
      <c r="N35" s="1819"/>
      <c r="O35" s="2637">
        <f>'Part I-Project Identification'!O36</f>
        <v>0</v>
      </c>
      <c r="P35" s="2637"/>
    </row>
    <row r="36" spans="1:17">
      <c r="A36" s="2614"/>
      <c r="B36" s="2614"/>
      <c r="C36" s="1819" t="s">
        <v>2574</v>
      </c>
      <c r="D36" s="1819"/>
      <c r="E36" s="1819"/>
      <c r="F36" s="1819"/>
      <c r="G36" s="1819"/>
      <c r="H36" s="1819"/>
      <c r="I36" s="1681" t="str">
        <f>'Part I-Project Identification'!I37</f>
        <v>No</v>
      </c>
      <c r="J36" s="2631" t="s">
        <v>2483</v>
      </c>
      <c r="K36" s="1819"/>
      <c r="L36" s="1819"/>
      <c r="M36" s="1819"/>
      <c r="N36" s="1819"/>
      <c r="O36" s="2637">
        <f>'Part I-Project Identification'!O37</f>
        <v>0</v>
      </c>
      <c r="P36" s="2637"/>
    </row>
    <row r="37" spans="1:17">
      <c r="A37" s="2614"/>
      <c r="B37" s="2614"/>
      <c r="C37" s="1819"/>
      <c r="D37" s="1819"/>
      <c r="E37" s="1819"/>
      <c r="F37" s="1819"/>
      <c r="G37" s="1819"/>
      <c r="H37" s="1819"/>
      <c r="I37" s="1819"/>
      <c r="J37" s="1819"/>
      <c r="K37" s="1819"/>
      <c r="L37" s="1819"/>
      <c r="M37" s="1819"/>
      <c r="N37" s="1819"/>
      <c r="O37" s="1819"/>
      <c r="P37" s="378"/>
    </row>
    <row r="38" spans="1:17">
      <c r="A38" s="1819"/>
      <c r="B38" s="2613"/>
      <c r="C38" s="1819"/>
      <c r="D38" s="1819"/>
      <c r="E38" s="1819"/>
      <c r="F38" s="1819"/>
      <c r="G38" s="1819"/>
      <c r="H38" s="1819"/>
      <c r="I38" s="1819"/>
      <c r="J38" s="1819"/>
      <c r="K38" s="1819"/>
      <c r="L38" s="378"/>
      <c r="M38" s="378"/>
      <c r="N38" s="378"/>
      <c r="O38" s="378"/>
      <c r="P38" s="2624"/>
    </row>
    <row r="39" spans="1:17">
      <c r="A39" s="2614" t="s">
        <v>496</v>
      </c>
      <c r="B39" s="377"/>
      <c r="C39" s="377" t="s">
        <v>530</v>
      </c>
      <c r="D39" s="378"/>
      <c r="E39" s="378"/>
      <c r="F39" s="378"/>
      <c r="G39" s="378"/>
      <c r="H39" s="378"/>
      <c r="I39" s="378"/>
      <c r="J39" s="378"/>
      <c r="K39" s="378"/>
      <c r="L39" s="378"/>
      <c r="M39" s="377" t="s">
        <v>720</v>
      </c>
      <c r="N39" s="377" t="s">
        <v>74</v>
      </c>
      <c r="O39" s="378"/>
      <c r="P39" s="378"/>
    </row>
    <row r="40" spans="1:17" ht="13.5">
      <c r="A40" s="2638">
        <f>'Part I-Project Identification'!A41</f>
        <v>0</v>
      </c>
      <c r="B40" s="2638"/>
      <c r="C40" s="2638"/>
      <c r="D40" s="2638"/>
      <c r="E40" s="2638"/>
      <c r="F40" s="2638"/>
      <c r="G40" s="2638"/>
      <c r="H40" s="2638"/>
      <c r="I40" s="2638"/>
      <c r="J40" s="2638"/>
      <c r="K40" s="2638"/>
      <c r="L40" s="2638"/>
      <c r="M40" s="2638">
        <f>'Part I-Project Identification'!M41</f>
        <v>0</v>
      </c>
      <c r="N40" s="2638"/>
      <c r="O40" s="2638"/>
      <c r="P40" s="2638"/>
    </row>
    <row r="45" spans="1:17">
      <c r="A45" s="2613" t="str">
        <f>CONCATENATE("PART TWO - SOURCES OF FUNDS (Proposed)","  -  ",'Part I-Project Identification'!$O$7," ",'Part I-Project Identification'!$F$25,", ",'Part I-Project Identification'!$F$26,", ",'Part I-Project Identification'!$J$26," County")</f>
        <v>PART TWO - SOURCES OF FUNDS (Proposed)  -  2023-0 Helix, Riverdale, Clayton County</v>
      </c>
      <c r="B45" s="2613"/>
      <c r="C45" s="2613"/>
      <c r="D45" s="2613"/>
      <c r="E45" s="2613"/>
      <c r="F45" s="2613"/>
      <c r="G45" s="2613"/>
      <c r="H45" s="2613"/>
      <c r="I45" s="2613"/>
      <c r="J45" s="2613"/>
      <c r="K45" s="2613"/>
      <c r="L45" s="2613"/>
      <c r="M45" s="2613"/>
      <c r="N45" s="2613"/>
      <c r="O45" s="2613"/>
      <c r="P45" s="2613"/>
      <c r="Q45" s="2613"/>
    </row>
    <row r="46" spans="1:17" ht="13.5">
      <c r="A46" s="378"/>
      <c r="B46" s="378"/>
      <c r="C46" s="378"/>
      <c r="D46" s="378"/>
      <c r="E46" s="378"/>
      <c r="F46" s="378"/>
      <c r="G46" s="359"/>
      <c r="H46" s="359"/>
      <c r="I46" s="359"/>
      <c r="J46" s="359"/>
      <c r="K46" s="359"/>
      <c r="L46" s="359"/>
      <c r="M46" s="2639"/>
      <c r="N46" s="2639"/>
      <c r="O46" s="2639"/>
      <c r="P46" s="2639"/>
      <c r="Q46" s="2639"/>
    </row>
    <row r="47" spans="1:17" ht="16.5">
      <c r="A47" s="2613" t="s">
        <v>573</v>
      </c>
      <c r="B47" s="2613" t="s">
        <v>2294</v>
      </c>
      <c r="C47" s="1819"/>
      <c r="D47" s="1819"/>
      <c r="E47" s="1819"/>
      <c r="F47" s="1819"/>
      <c r="G47" s="1819"/>
      <c r="H47" s="2640"/>
      <c r="I47" s="2640"/>
      <c r="J47" s="2640"/>
      <c r="K47" s="2640"/>
      <c r="L47" s="2641" t="str">
        <f>'Part I-Project Identification'!$A$6</f>
        <v>April 2023</v>
      </c>
      <c r="M47" s="2641"/>
      <c r="N47" s="2641"/>
      <c r="O47" s="2641"/>
      <c r="P47" s="2641"/>
      <c r="Q47" s="2640"/>
    </row>
    <row r="48" spans="1:17" ht="13.5">
      <c r="A48" s="377"/>
      <c r="B48" s="2614"/>
      <c r="C48" s="377"/>
      <c r="D48" s="1819"/>
      <c r="E48" s="1819"/>
      <c r="F48" s="1819"/>
      <c r="G48" s="1819"/>
      <c r="H48" s="2640"/>
      <c r="I48" s="2640"/>
      <c r="J48" s="2640"/>
      <c r="K48" s="2640"/>
      <c r="L48" s="2640"/>
      <c r="M48" s="2640"/>
      <c r="N48" s="2640"/>
      <c r="O48" s="2640"/>
      <c r="P48" s="2640"/>
      <c r="Q48" s="2640"/>
    </row>
    <row r="49" spans="1:17" ht="13.5">
      <c r="A49" s="2614"/>
      <c r="B49" s="1622" t="str">
        <f>'Part II-Sources of Funds'!B6</f>
        <v>Yes</v>
      </c>
      <c r="C49" s="2618" t="s">
        <v>2219</v>
      </c>
      <c r="D49" s="1819"/>
      <c r="E49" s="1622" t="str">
        <f>'Part II-Sources of Funds'!E6</f>
        <v>No</v>
      </c>
      <c r="F49" s="2618" t="s">
        <v>6079</v>
      </c>
      <c r="G49" s="1819"/>
      <c r="H49" s="2640"/>
      <c r="I49" s="2642">
        <f>'Part II-Sources of Funds'!I6</f>
        <v>0</v>
      </c>
      <c r="J49" s="359"/>
      <c r="K49" s="2640"/>
      <c r="L49" s="1622" t="str">
        <f>'Part II-Sources of Funds'!L6</f>
        <v>No</v>
      </c>
      <c r="M49" s="2618" t="s">
        <v>1437</v>
      </c>
      <c r="N49" s="2640"/>
      <c r="O49" s="2640"/>
      <c r="P49" s="2640"/>
      <c r="Q49" s="2638"/>
    </row>
    <row r="50" spans="1:17" ht="13.5">
      <c r="A50" s="2614"/>
      <c r="B50" s="1622" t="str">
        <f>'Part II-Sources of Funds'!B7</f>
        <v>No</v>
      </c>
      <c r="C50" s="2618" t="s">
        <v>3876</v>
      </c>
      <c r="D50" s="1819"/>
      <c r="E50" s="1622" t="str">
        <f>'Part II-Sources of Funds'!E7</f>
        <v>No</v>
      </c>
      <c r="F50" s="2618" t="s">
        <v>6080</v>
      </c>
      <c r="G50" s="2640"/>
      <c r="H50" s="2640"/>
      <c r="I50" s="2642">
        <f>'Part II-Sources of Funds'!I7</f>
        <v>0</v>
      </c>
      <c r="J50" s="359"/>
      <c r="K50" s="2640"/>
      <c r="L50" s="1622" t="str">
        <f>'Part II-Sources of Funds'!L7</f>
        <v>No</v>
      </c>
      <c r="M50" s="2618" t="s">
        <v>514</v>
      </c>
      <c r="N50" s="2640"/>
      <c r="O50" s="2640"/>
      <c r="P50" s="2638"/>
      <c r="Q50" s="2638"/>
    </row>
    <row r="51" spans="1:17" ht="13.5">
      <c r="A51" s="1819"/>
      <c r="B51" s="1622" t="str">
        <f>'Part II-Sources of Funds'!B8</f>
        <v>No</v>
      </c>
      <c r="C51" s="2618" t="s">
        <v>6660</v>
      </c>
      <c r="D51" s="2640"/>
      <c r="E51" s="2640"/>
      <c r="F51" s="2640" t="s">
        <v>6663</v>
      </c>
      <c r="G51" s="2640"/>
      <c r="H51" s="2640" t="str">
        <f>'Part II-Sources of Funds'!H8</f>
        <v>Specify Other HOME Source here</v>
      </c>
      <c r="I51" s="2640"/>
      <c r="J51" s="2640"/>
      <c r="K51" s="2640"/>
      <c r="L51" s="1622" t="str">
        <f>'Part II-Sources of Funds'!L8</f>
        <v>No</v>
      </c>
      <c r="M51" s="2618" t="s">
        <v>6665</v>
      </c>
      <c r="N51" s="2640"/>
      <c r="O51" s="2640"/>
      <c r="P51" s="2638"/>
      <c r="Q51" s="2638"/>
    </row>
    <row r="52" spans="1:17" ht="13.5">
      <c r="A52" s="2614"/>
      <c r="B52" s="1622" t="str">
        <f>'Part II-Sources of Funds'!B9</f>
        <v>No</v>
      </c>
      <c r="C52" s="2640" t="s">
        <v>3300</v>
      </c>
      <c r="D52" s="2640"/>
      <c r="E52" s="1622" t="str">
        <f>'Part II-Sources of Funds'!E9</f>
        <v>No</v>
      </c>
      <c r="F52" s="2640" t="str">
        <f>'Part II-Sources of Funds'!F9</f>
        <v>Other Type of FEDERAL Funding * - describe type/program here</v>
      </c>
      <c r="G52" s="2640"/>
      <c r="H52" s="2640"/>
      <c r="I52" s="2640"/>
      <c r="J52" s="2640"/>
      <c r="K52" s="2640"/>
      <c r="L52" s="1622" t="str">
        <f>'Part II-Sources of Funds'!L9</f>
        <v>No</v>
      </c>
      <c r="M52" s="2618" t="s">
        <v>3877</v>
      </c>
      <c r="N52" s="2640"/>
      <c r="O52" s="2640"/>
      <c r="P52" s="2640"/>
      <c r="Q52" s="2638"/>
    </row>
    <row r="53" spans="1:17" ht="13.5">
      <c r="A53" s="2614"/>
      <c r="B53" s="1622" t="str">
        <f>'Part II-Sources of Funds'!B10</f>
        <v>No</v>
      </c>
      <c r="C53" s="2618" t="s">
        <v>2394</v>
      </c>
      <c r="D53" s="2640"/>
      <c r="E53" s="2640"/>
      <c r="F53" s="2640" t="str">
        <f>'Part II-Sources of Funds'!F10</f>
        <v>Specify Source/Administrator of Other FEDERAL Funding here</v>
      </c>
      <c r="G53" s="2640"/>
      <c r="H53" s="2640"/>
      <c r="I53" s="2640"/>
      <c r="J53" s="2640"/>
      <c r="K53" s="2640"/>
      <c r="L53" s="1622" t="str">
        <f>'Part II-Sources of Funds'!L10</f>
        <v>No</v>
      </c>
      <c r="M53" s="2618" t="s">
        <v>3192</v>
      </c>
      <c r="N53" s="2640"/>
      <c r="O53" s="2640"/>
      <c r="P53" s="2638"/>
      <c r="Q53" s="2638"/>
    </row>
    <row r="54" spans="1:17" ht="13.5">
      <c r="A54" s="2614"/>
      <c r="B54" s="1622" t="str">
        <f>'Part II-Sources of Funds'!B11</f>
        <v>No</v>
      </c>
      <c r="C54" s="2618" t="s">
        <v>2395</v>
      </c>
      <c r="D54" s="2640"/>
      <c r="E54" s="1622" t="str">
        <f>'Part II-Sources of Funds'!E11</f>
        <v>No</v>
      </c>
      <c r="F54" s="2640" t="str">
        <f>'Part II-Sources of Funds'!F11</f>
        <v>Other Type of STATE/LOCAL Funding * - describe type/program here</v>
      </c>
      <c r="G54" s="2640"/>
      <c r="H54" s="2640"/>
      <c r="I54" s="2640"/>
      <c r="J54" s="2640"/>
      <c r="K54" s="2640"/>
      <c r="L54" s="1622" t="str">
        <f>'Part II-Sources of Funds'!L11</f>
        <v>No</v>
      </c>
      <c r="M54" s="2640" t="s">
        <v>2398</v>
      </c>
      <c r="N54" s="2640"/>
      <c r="O54" s="2640"/>
      <c r="P54" s="2640"/>
      <c r="Q54" s="2640"/>
    </row>
    <row r="55" spans="1:17" ht="13.5">
      <c r="A55" s="2614"/>
      <c r="B55" s="1622" t="str">
        <f>'Part II-Sources of Funds'!B12</f>
        <v>No</v>
      </c>
      <c r="C55" s="2618" t="s">
        <v>3193</v>
      </c>
      <c r="D55" s="2640"/>
      <c r="E55" s="2640"/>
      <c r="F55" s="2640" t="str">
        <f>'Part II-Sources of Funds'!F12</f>
        <v>Specify Source/Administrator of Other STATE/LOCAL Funding here</v>
      </c>
      <c r="G55" s="2640"/>
      <c r="H55" s="2640"/>
      <c r="I55" s="2640"/>
      <c r="J55" s="2640"/>
      <c r="K55" s="2640"/>
      <c r="L55" s="1622" t="str">
        <f>'Part II-Sources of Funds'!L12</f>
        <v>No</v>
      </c>
      <c r="M55" s="2640" t="s">
        <v>3219</v>
      </c>
      <c r="N55" s="2640"/>
      <c r="O55" s="2640"/>
      <c r="P55" s="2640"/>
      <c r="Q55" s="2640"/>
    </row>
    <row r="56" spans="1:17" ht="13.5">
      <c r="A56" s="2614"/>
      <c r="B56" s="1622" t="str">
        <f>'Part II-Sources of Funds'!B13</f>
        <v>No</v>
      </c>
      <c r="C56" s="2618" t="s">
        <v>6662</v>
      </c>
      <c r="D56" s="2640"/>
      <c r="E56" s="1622" t="str">
        <f>'Part II-Sources of Funds'!E13</f>
        <v>No</v>
      </c>
      <c r="F56" s="2618" t="s">
        <v>6664</v>
      </c>
      <c r="G56" s="2640"/>
      <c r="H56" s="2640" t="str">
        <f>'Part II-Sources of Funds'!H13</f>
        <v>Specify Other PBRA Source here</v>
      </c>
      <c r="I56" s="2640"/>
      <c r="J56" s="2640"/>
      <c r="K56" s="2640"/>
      <c r="L56" s="1622" t="str">
        <f>'Part II-Sources of Funds'!L13</f>
        <v>No</v>
      </c>
      <c r="M56" s="2640" t="s">
        <v>6078</v>
      </c>
      <c r="N56" s="2640"/>
      <c r="O56" s="2640"/>
      <c r="P56" s="2640"/>
      <c r="Q56" s="2640"/>
    </row>
    <row r="57" spans="1:17" ht="13.5">
      <c r="A57" s="2614"/>
      <c r="B57" s="1622" t="str">
        <f>'Part II-Sources of Funds'!B14</f>
        <v>No</v>
      </c>
      <c r="C57" s="2640" t="s">
        <v>2397</v>
      </c>
      <c r="D57" s="2640"/>
      <c r="E57" s="1622" t="str">
        <f>'Part II-Sources of Funds'!E14</f>
        <v>No</v>
      </c>
      <c r="F57" s="2618" t="s">
        <v>3299</v>
      </c>
      <c r="G57" s="2640"/>
      <c r="H57" s="2640"/>
      <c r="I57" s="2640"/>
      <c r="J57" s="2640"/>
      <c r="K57" s="2640"/>
      <c r="L57" s="1622" t="str">
        <f>'Part II-Sources of Funds'!L14</f>
        <v>No</v>
      </c>
      <c r="M57" s="2640" t="s">
        <v>6710</v>
      </c>
      <c r="N57" s="2640"/>
      <c r="O57" s="2640"/>
      <c r="P57" s="2640"/>
      <c r="Q57" s="2640"/>
    </row>
    <row r="58" spans="1:17" ht="13.5">
      <c r="A58" s="2614"/>
      <c r="B58" s="1622" t="str">
        <f>'Part II-Sources of Funds'!B15</f>
        <v>No</v>
      </c>
      <c r="C58" s="2640" t="s">
        <v>3218</v>
      </c>
      <c r="D58" s="2640"/>
      <c r="E58" s="1622" t="str">
        <f>'Part II-Sources of Funds'!E15</f>
        <v>No</v>
      </c>
      <c r="F58" s="2618" t="s">
        <v>6081</v>
      </c>
      <c r="G58" s="2640"/>
      <c r="H58" s="2640"/>
      <c r="I58" s="2640"/>
      <c r="J58" s="2640"/>
      <c r="K58" s="2640"/>
      <c r="L58" s="1622" t="str">
        <f>'Part II-Sources of Funds'!L15</f>
        <v>No</v>
      </c>
      <c r="M58" s="2643" t="s">
        <v>6082</v>
      </c>
      <c r="N58" s="2640"/>
      <c r="O58" s="2640"/>
      <c r="P58" s="2640"/>
      <c r="Q58" s="2640"/>
    </row>
    <row r="59" spans="1:17" ht="13.5">
      <c r="A59" s="2614"/>
      <c r="B59" s="1622" t="str">
        <f>'Part II-Sources of Funds'!B16</f>
        <v>No</v>
      </c>
      <c r="C59" s="2618" t="s">
        <v>1673</v>
      </c>
      <c r="D59" s="2640"/>
      <c r="E59" s="1622" t="str">
        <f>'Part II-Sources of Funds'!E16</f>
        <v>No</v>
      </c>
      <c r="F59" s="2618" t="s">
        <v>6499</v>
      </c>
      <c r="G59" s="2640"/>
      <c r="H59" s="2640"/>
      <c r="I59" s="2642">
        <f>'Part II-Sources of Funds'!I16</f>
        <v>0</v>
      </c>
      <c r="J59" s="359"/>
      <c r="K59" s="2640"/>
      <c r="L59" s="1622" t="str">
        <f>'Part II-Sources of Funds'!L16</f>
        <v>No</v>
      </c>
      <c r="M59" s="2643" t="s">
        <v>6077</v>
      </c>
      <c r="N59" s="2640"/>
      <c r="O59" s="2640"/>
      <c r="P59" s="2640"/>
      <c r="Q59" s="2640"/>
    </row>
    <row r="60" spans="1:17" ht="13.5">
      <c r="A60" s="2614"/>
      <c r="B60" s="2640" t="s">
        <v>3878</v>
      </c>
      <c r="C60" s="1819"/>
      <c r="D60" s="1819"/>
      <c r="E60" s="1819"/>
      <c r="F60" s="1819"/>
      <c r="G60" s="1819"/>
      <c r="H60" s="1819"/>
      <c r="I60" s="1819"/>
      <c r="J60" s="1819"/>
      <c r="K60" s="1819"/>
      <c r="L60" s="1819"/>
      <c r="M60" s="2639"/>
      <c r="N60" s="1819"/>
      <c r="O60" s="1819"/>
      <c r="P60" s="1819"/>
      <c r="Q60" s="1819"/>
    </row>
    <row r="61" spans="1:17" ht="13.5">
      <c r="A61" s="2614"/>
      <c r="B61" s="2640"/>
      <c r="C61" s="2640"/>
      <c r="D61" s="2640"/>
      <c r="E61" s="2640"/>
      <c r="F61" s="2640"/>
      <c r="G61" s="2640"/>
      <c r="H61" s="2640"/>
      <c r="I61" s="2640"/>
      <c r="J61" s="2640"/>
      <c r="K61" s="2640"/>
      <c r="L61" s="1819"/>
      <c r="M61" s="378"/>
      <c r="N61" s="1819"/>
      <c r="O61" s="1819"/>
      <c r="P61" s="1819"/>
      <c r="Q61" s="1819"/>
    </row>
    <row r="62" spans="1:17" ht="13.5">
      <c r="A62" s="2613" t="s">
        <v>689</v>
      </c>
      <c r="B62" s="2623" t="s">
        <v>2165</v>
      </c>
      <c r="C62" s="1819"/>
      <c r="D62" s="1819"/>
      <c r="E62" s="1819"/>
      <c r="F62" s="1819"/>
      <c r="G62" s="1819"/>
      <c r="H62" s="2625"/>
      <c r="I62" s="2625"/>
      <c r="J62" s="2625"/>
      <c r="K62" s="2625"/>
      <c r="L62" s="1819"/>
      <c r="M62" s="1819"/>
      <c r="N62" s="1819"/>
      <c r="O62" s="1819"/>
      <c r="P62" s="1819"/>
      <c r="Q62" s="1819"/>
    </row>
    <row r="63" spans="1:17" ht="13.5">
      <c r="A63" s="2613"/>
      <c r="B63" s="2623"/>
      <c r="C63" s="1819"/>
      <c r="D63" s="2625"/>
      <c r="E63" s="2625"/>
      <c r="F63" s="2625"/>
      <c r="G63" s="2625"/>
      <c r="H63" s="2625"/>
      <c r="I63" s="2625"/>
      <c r="J63" s="2625"/>
      <c r="K63" s="1819"/>
      <c r="L63" s="1819"/>
      <c r="M63" s="1819"/>
      <c r="N63" s="1622"/>
      <c r="O63" s="1622"/>
      <c r="P63" s="1819"/>
      <c r="Q63" s="1819"/>
    </row>
    <row r="64" spans="1:17">
      <c r="A64" s="1819"/>
      <c r="B64" s="2622" t="s">
        <v>1734</v>
      </c>
      <c r="C64" s="1819"/>
      <c r="D64" s="1819"/>
      <c r="E64" s="1819"/>
      <c r="F64" s="1819"/>
      <c r="G64" s="1819"/>
      <c r="H64" s="1819" t="s">
        <v>1220</v>
      </c>
      <c r="I64" s="1819"/>
      <c r="J64" s="1819"/>
      <c r="K64" s="1819"/>
      <c r="L64" s="1819" t="s">
        <v>3844</v>
      </c>
      <c r="M64" s="1819"/>
      <c r="N64" s="1819" t="s">
        <v>1410</v>
      </c>
      <c r="O64" s="1819"/>
      <c r="P64" s="1819" t="s">
        <v>1523</v>
      </c>
      <c r="Q64" s="1819"/>
    </row>
    <row r="65" spans="1:17">
      <c r="A65" s="1819"/>
      <c r="B65" s="1819" t="s">
        <v>1486</v>
      </c>
      <c r="C65" s="1819"/>
      <c r="D65" s="1819"/>
      <c r="E65" s="1819"/>
      <c r="F65" s="1819"/>
      <c r="G65" s="1819"/>
      <c r="H65" s="2644" t="str">
        <f>'Part II-Sources of Funds'!H22</f>
        <v>FNB South</v>
      </c>
      <c r="I65" s="2644"/>
      <c r="J65" s="2644"/>
      <c r="K65" s="2644"/>
      <c r="L65" s="2546">
        <f>'Part II-Sources of Funds'!L22</f>
        <v>14375000</v>
      </c>
      <c r="M65" s="2546"/>
      <c r="N65" s="2547">
        <f>'Part II-Sources of Funds'!N22</f>
        <v>6.5000000000000002E-2</v>
      </c>
      <c r="O65" s="2547"/>
      <c r="P65" s="2548">
        <f>'Part II-Sources of Funds'!P22</f>
        <v>24</v>
      </c>
      <c r="Q65" s="2548"/>
    </row>
    <row r="66" spans="1:17">
      <c r="A66" s="1819"/>
      <c r="B66" s="1819" t="s">
        <v>1487</v>
      </c>
      <c r="C66" s="1819"/>
      <c r="D66" s="1819"/>
      <c r="E66" s="1819"/>
      <c r="F66" s="1819"/>
      <c r="G66" s="1819"/>
      <c r="H66" s="2644">
        <f>'Part II-Sources of Funds'!H23</f>
        <v>0</v>
      </c>
      <c r="I66" s="2644"/>
      <c r="J66" s="2644"/>
      <c r="K66" s="2644"/>
      <c r="L66" s="2546">
        <f>'Part II-Sources of Funds'!L23</f>
        <v>0</v>
      </c>
      <c r="M66" s="2546"/>
      <c r="N66" s="2547">
        <f>'Part II-Sources of Funds'!N23</f>
        <v>0</v>
      </c>
      <c r="O66" s="2547"/>
      <c r="P66" s="2548">
        <f>'Part II-Sources of Funds'!P23</f>
        <v>0</v>
      </c>
      <c r="Q66" s="2548"/>
    </row>
    <row r="67" spans="1:17">
      <c r="A67" s="1819"/>
      <c r="B67" s="1819" t="s">
        <v>1488</v>
      </c>
      <c r="C67" s="1819"/>
      <c r="D67" s="1819"/>
      <c r="E67" s="1819"/>
      <c r="F67" s="1819"/>
      <c r="G67" s="1819"/>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c r="A68" s="1819"/>
      <c r="B68" s="1819" t="s">
        <v>2047</v>
      </c>
      <c r="C68" s="1819"/>
      <c r="D68" s="1819"/>
      <c r="E68" s="1819"/>
      <c r="F68" s="1819"/>
      <c r="G68" s="1819"/>
      <c r="H68" s="2644">
        <f>'Part II-Sources of Funds'!H25</f>
        <v>0</v>
      </c>
      <c r="I68" s="2644"/>
      <c r="J68" s="2644"/>
      <c r="K68" s="2644"/>
      <c r="L68" s="2546">
        <f>'Part II-Sources of Funds'!L25</f>
        <v>0</v>
      </c>
      <c r="M68" s="2546"/>
      <c r="N68" s="2547"/>
      <c r="O68" s="2547"/>
      <c r="P68" s="1819"/>
      <c r="Q68" s="1819"/>
    </row>
    <row r="69" spans="1:17" ht="13.5">
      <c r="A69" s="1819"/>
      <c r="B69" s="1819" t="s">
        <v>745</v>
      </c>
      <c r="C69" s="1819"/>
      <c r="D69" s="1819"/>
      <c r="E69" s="1819"/>
      <c r="F69" s="2640"/>
      <c r="G69" s="2640"/>
      <c r="H69" s="2644">
        <f>'Part II-Sources of Funds'!H26</f>
        <v>0</v>
      </c>
      <c r="I69" s="2644"/>
      <c r="J69" s="2644"/>
      <c r="K69" s="2644"/>
      <c r="L69" s="2546">
        <f>'Part II-Sources of Funds'!L26</f>
        <v>0</v>
      </c>
      <c r="M69" s="2546"/>
      <c r="N69" s="2547"/>
      <c r="O69" s="2547"/>
      <c r="P69" s="1819"/>
      <c r="Q69" s="1819"/>
    </row>
    <row r="70" spans="1:17" ht="13.5">
      <c r="A70" s="1819"/>
      <c r="B70" s="1819" t="s">
        <v>595</v>
      </c>
      <c r="C70" s="1819"/>
      <c r="D70" s="1819"/>
      <c r="E70" s="1819"/>
      <c r="F70" s="2640"/>
      <c r="G70" s="2640"/>
      <c r="H70" s="2644">
        <f>'Part II-Sources of Funds'!H27</f>
        <v>0</v>
      </c>
      <c r="I70" s="2644"/>
      <c r="J70" s="2644"/>
      <c r="K70" s="2644"/>
      <c r="L70" s="2546">
        <f>'Part II-Sources of Funds'!L27</f>
        <v>0</v>
      </c>
      <c r="M70" s="2546"/>
      <c r="N70" s="2547"/>
      <c r="O70" s="2547"/>
      <c r="P70" s="1819"/>
      <c r="Q70" s="1819"/>
    </row>
    <row r="71" spans="1:17" ht="25.5">
      <c r="A71" s="1819"/>
      <c r="B71" s="1819" t="s">
        <v>746</v>
      </c>
      <c r="C71" s="1819"/>
      <c r="D71" s="1819"/>
      <c r="E71" s="1819"/>
      <c r="F71" s="2640"/>
      <c r="G71" s="2640"/>
      <c r="H71" s="2644" t="str">
        <f>'Part II-Sources of Funds'!H28</f>
        <v>Direct Tax Credits</v>
      </c>
      <c r="I71" s="2644"/>
      <c r="J71" s="2644"/>
      <c r="K71" s="2644"/>
      <c r="L71" s="2546">
        <f>'Part II-Sources of Funds'!L28</f>
        <v>8176057</v>
      </c>
      <c r="M71" s="2546"/>
      <c r="N71" s="1819"/>
      <c r="O71" s="2640"/>
      <c r="P71" s="2640"/>
      <c r="Q71" s="1819"/>
    </row>
    <row r="72" spans="1:17" ht="25.5">
      <c r="A72" s="1819"/>
      <c r="B72" s="1819" t="s">
        <v>747</v>
      </c>
      <c r="C72" s="1819"/>
      <c r="D72" s="1819"/>
      <c r="E72" s="1819"/>
      <c r="F72" s="2640"/>
      <c r="G72" s="2640"/>
      <c r="H72" s="2644" t="str">
        <f>'Part II-Sources of Funds'!H29</f>
        <v>Direct Tax Credits</v>
      </c>
      <c r="I72" s="2644"/>
      <c r="J72" s="2644"/>
      <c r="K72" s="2644"/>
      <c r="L72" s="2546">
        <f>'Part II-Sources of Funds'!L29</f>
        <v>4618250</v>
      </c>
      <c r="M72" s="2546"/>
      <c r="N72" s="1819"/>
      <c r="O72" s="2640"/>
      <c r="P72" s="2640"/>
      <c r="Q72" s="1819"/>
    </row>
    <row r="73" spans="1:17" ht="13.5">
      <c r="A73" s="1819"/>
      <c r="B73" s="1819" t="s">
        <v>232</v>
      </c>
      <c r="C73" s="1819"/>
      <c r="D73" s="2644">
        <f>'Part II-Sources of Funds'!D30</f>
        <v>0</v>
      </c>
      <c r="E73" s="2644"/>
      <c r="F73" s="2644"/>
      <c r="G73" s="2644"/>
      <c r="H73" s="2644">
        <f>'Part II-Sources of Funds'!H30</f>
        <v>0</v>
      </c>
      <c r="I73" s="2644"/>
      <c r="J73" s="2644"/>
      <c r="K73" s="2644"/>
      <c r="L73" s="2546">
        <f>'Part II-Sources of Funds'!L30</f>
        <v>0</v>
      </c>
      <c r="M73" s="2546"/>
      <c r="N73" s="1819"/>
      <c r="O73" s="2640"/>
      <c r="P73" s="2640"/>
      <c r="Q73" s="1819"/>
    </row>
    <row r="74" spans="1:17" ht="13.5">
      <c r="A74" s="1819"/>
      <c r="B74" s="1819" t="s">
        <v>232</v>
      </c>
      <c r="C74" s="1819"/>
      <c r="D74" s="2644">
        <f>'Part II-Sources of Funds'!D31</f>
        <v>0</v>
      </c>
      <c r="E74" s="2644"/>
      <c r="F74" s="2644"/>
      <c r="G74" s="2644"/>
      <c r="H74" s="2644">
        <f>'Part II-Sources of Funds'!H31</f>
        <v>0</v>
      </c>
      <c r="I74" s="2644"/>
      <c r="J74" s="2644"/>
      <c r="K74" s="2644"/>
      <c r="L74" s="2546">
        <f>'Part II-Sources of Funds'!L31</f>
        <v>0</v>
      </c>
      <c r="M74" s="2546"/>
      <c r="N74" s="1819"/>
      <c r="O74" s="2640"/>
      <c r="P74" s="2640"/>
      <c r="Q74" s="2640"/>
    </row>
    <row r="75" spans="1:17" ht="13.5">
      <c r="A75" s="1819"/>
      <c r="B75" s="1819" t="s">
        <v>232</v>
      </c>
      <c r="C75" s="1819"/>
      <c r="D75" s="2644">
        <f>'Part II-Sources of Funds'!D32</f>
        <v>0</v>
      </c>
      <c r="E75" s="2644"/>
      <c r="F75" s="2644"/>
      <c r="G75" s="2644"/>
      <c r="H75" s="2644">
        <f>'Part II-Sources of Funds'!H32</f>
        <v>0</v>
      </c>
      <c r="I75" s="2644"/>
      <c r="J75" s="2644"/>
      <c r="K75" s="2644"/>
      <c r="L75" s="2546">
        <f>'Part II-Sources of Funds'!L32</f>
        <v>0</v>
      </c>
      <c r="M75" s="2546"/>
      <c r="N75" s="1819"/>
      <c r="O75" s="2640"/>
      <c r="P75" s="2640"/>
      <c r="Q75" s="2640"/>
    </row>
    <row r="76" spans="1:17" ht="13.5">
      <c r="A76" s="1819"/>
      <c r="B76" s="2623" t="s">
        <v>1221</v>
      </c>
      <c r="C76" s="1819"/>
      <c r="D76" s="1819"/>
      <c r="E76" s="1819"/>
      <c r="F76" s="1819"/>
      <c r="G76" s="1819"/>
      <c r="H76" s="1819"/>
      <c r="I76" s="1819"/>
      <c r="J76" s="2640"/>
      <c r="K76" s="2640"/>
      <c r="L76" s="2549">
        <f>SUM(L65:L75)</f>
        <v>27169307</v>
      </c>
      <c r="M76" s="2549"/>
      <c r="N76" s="378"/>
      <c r="O76" s="2640"/>
      <c r="P76" s="2640"/>
      <c r="Q76" s="2640"/>
    </row>
    <row r="77" spans="1:17" ht="13.5">
      <c r="A77" s="1819"/>
      <c r="B77" s="2622" t="s">
        <v>1222</v>
      </c>
      <c r="C77" s="1819"/>
      <c r="D77" s="1819"/>
      <c r="E77" s="1819"/>
      <c r="F77" s="1819"/>
      <c r="G77" s="1819"/>
      <c r="H77" s="1819"/>
      <c r="I77" s="1819"/>
      <c r="J77" s="2640"/>
      <c r="K77" s="2640"/>
      <c r="L77" s="2549">
        <f>'Part II-Sources of Funds'!L34</f>
        <v>22493893</v>
      </c>
      <c r="M77" s="2549"/>
      <c r="N77" s="2645"/>
      <c r="O77" s="2640"/>
      <c r="P77" s="2640"/>
      <c r="Q77" s="2640"/>
    </row>
    <row r="78" spans="1:17" ht="13.5">
      <c r="A78" s="1819"/>
      <c r="B78" s="2622" t="s">
        <v>2002</v>
      </c>
      <c r="C78" s="1819"/>
      <c r="D78" s="1819"/>
      <c r="E78" s="1819"/>
      <c r="F78" s="1819"/>
      <c r="G78" s="1819"/>
      <c r="H78" s="1819"/>
      <c r="I78" s="1819"/>
      <c r="J78" s="2640"/>
      <c r="K78" s="2640"/>
      <c r="L78" s="2646">
        <f>L76-L77</f>
        <v>4675414</v>
      </c>
      <c r="M78" s="2646"/>
      <c r="N78" s="2645"/>
      <c r="O78" s="2640"/>
      <c r="P78" s="2640"/>
      <c r="Q78" s="2640"/>
    </row>
    <row r="79" spans="1:17" ht="13.5">
      <c r="A79" s="377"/>
      <c r="B79" s="2623"/>
      <c r="C79" s="378"/>
      <c r="D79" s="378"/>
      <c r="E79" s="378"/>
      <c r="F79" s="378"/>
      <c r="G79" s="378"/>
      <c r="H79" s="378"/>
      <c r="I79" s="378"/>
      <c r="J79" s="378"/>
      <c r="K79" s="378"/>
      <c r="L79" s="378"/>
      <c r="M79" s="1622"/>
      <c r="N79" s="1622"/>
      <c r="O79" s="2639"/>
      <c r="P79" s="2639"/>
      <c r="Q79" s="2639"/>
    </row>
    <row r="80" spans="1:17" ht="13.5">
      <c r="A80" s="2613" t="s">
        <v>691</v>
      </c>
      <c r="B80" s="2623" t="s">
        <v>744</v>
      </c>
      <c r="C80" s="378"/>
      <c r="D80" s="378"/>
      <c r="E80" s="378"/>
      <c r="F80" s="378"/>
      <c r="G80" s="378"/>
      <c r="H80" s="378"/>
      <c r="I80" s="378"/>
      <c r="J80" s="378"/>
      <c r="K80" s="378"/>
      <c r="L80" s="378"/>
      <c r="M80" s="1622"/>
      <c r="N80" s="1622"/>
      <c r="O80" s="378"/>
      <c r="P80" s="2639"/>
      <c r="Q80" s="2639"/>
    </row>
    <row r="81" spans="1:17" ht="13.5" customHeight="1">
      <c r="A81" s="1819"/>
      <c r="B81" s="1819"/>
      <c r="C81" s="1819"/>
      <c r="D81" s="1819"/>
      <c r="E81" s="1819"/>
      <c r="F81" s="1622"/>
      <c r="G81" s="1622"/>
      <c r="H81" s="1819"/>
      <c r="I81" s="1819"/>
      <c r="J81" s="2640"/>
      <c r="K81" s="1681" t="s">
        <v>1948</v>
      </c>
      <c r="L81" s="1622" t="s">
        <v>1218</v>
      </c>
      <c r="M81" s="1622" t="s">
        <v>1223</v>
      </c>
      <c r="N81" s="2640"/>
      <c r="O81" s="2640"/>
      <c r="P81" s="2645" t="s">
        <v>31</v>
      </c>
      <c r="Q81" s="2645"/>
    </row>
    <row r="82" spans="1:17">
      <c r="A82" s="1819"/>
      <c r="B82" s="2622" t="s">
        <v>1734</v>
      </c>
      <c r="C82" s="1819"/>
      <c r="D82" s="1819"/>
      <c r="E82" s="1819" t="s">
        <v>1220</v>
      </c>
      <c r="F82" s="1819"/>
      <c r="G82" s="1819"/>
      <c r="H82" s="1819"/>
      <c r="I82" s="1819" t="s">
        <v>3843</v>
      </c>
      <c r="J82" s="1819"/>
      <c r="K82" s="1622" t="s">
        <v>1675</v>
      </c>
      <c r="L82" s="1622" t="s">
        <v>2046</v>
      </c>
      <c r="M82" s="1622" t="s">
        <v>2046</v>
      </c>
      <c r="N82" s="1819" t="s">
        <v>69</v>
      </c>
      <c r="O82" s="1819"/>
      <c r="P82" s="2645"/>
      <c r="Q82" s="2645"/>
    </row>
    <row r="83" spans="1:17" ht="25.5">
      <c r="A83" s="1819"/>
      <c r="B83" s="1819" t="s">
        <v>2402</v>
      </c>
      <c r="C83" s="1819"/>
      <c r="D83" s="1819"/>
      <c r="E83" s="2644" t="str">
        <f>'Part II-Sources of Funds'!E40</f>
        <v>Bellwether Enterprise</v>
      </c>
      <c r="F83" s="2644"/>
      <c r="G83" s="2644"/>
      <c r="H83" s="2644"/>
      <c r="I83" s="2647">
        <f>'Part II-Sources of Funds'!I40</f>
        <v>7273800</v>
      </c>
      <c r="J83" s="1819"/>
      <c r="K83" s="2648">
        <f>'Part II-Sources of Funds'!K40</f>
        <v>6.25E-2</v>
      </c>
      <c r="L83" s="1622">
        <f>'Part II-Sources of Funds'!L40</f>
        <v>15</v>
      </c>
      <c r="M83" s="1622">
        <f>'Part II-Sources of Funds'!M40</f>
        <v>35</v>
      </c>
      <c r="N83" s="1819" t="str">
        <f>'Part II-Sources of Funds'!N40</f>
        <v>Amortizing</v>
      </c>
      <c r="O83" s="1819"/>
      <c r="P83" s="2550">
        <f>'Part II-Sources of Funds'!P40</f>
        <v>512433.2280002333</v>
      </c>
      <c r="Q83" s="2550"/>
    </row>
    <row r="84" spans="1:17">
      <c r="A84" s="1819"/>
      <c r="B84" s="1819" t="s">
        <v>2403</v>
      </c>
      <c r="C84" s="1819"/>
      <c r="D84" s="1819"/>
      <c r="E84" s="2644">
        <f>'Part II-Sources of Funds'!E41</f>
        <v>0</v>
      </c>
      <c r="F84" s="2644"/>
      <c r="G84" s="2644"/>
      <c r="H84" s="2644"/>
      <c r="I84" s="2647">
        <f>'Part II-Sources of Funds'!I41</f>
        <v>0</v>
      </c>
      <c r="J84" s="1819"/>
      <c r="K84" s="2648">
        <f>'Part II-Sources of Funds'!K41</f>
        <v>0</v>
      </c>
      <c r="L84" s="1622">
        <f>'Part II-Sources of Funds'!L41</f>
        <v>0</v>
      </c>
      <c r="M84" s="1622">
        <f>'Part II-Sources of Funds'!M41</f>
        <v>0</v>
      </c>
      <c r="N84" s="1819">
        <f>'Part II-Sources of Funds'!N41</f>
        <v>0</v>
      </c>
      <c r="O84" s="1819"/>
      <c r="P84" s="2550" t="str">
        <f>'Part II-Sources of Funds'!P41</f>
        <v/>
      </c>
      <c r="Q84" s="2550"/>
    </row>
    <row r="85" spans="1:17">
      <c r="A85" s="1819"/>
      <c r="B85" s="1819" t="s">
        <v>2404</v>
      </c>
      <c r="C85" s="1819"/>
      <c r="D85" s="1819"/>
      <c r="E85" s="2644">
        <f>'Part II-Sources of Funds'!E42</f>
        <v>0</v>
      </c>
      <c r="F85" s="2644"/>
      <c r="G85" s="2644"/>
      <c r="H85" s="2644"/>
      <c r="I85" s="2647">
        <f>'Part II-Sources of Funds'!I42</f>
        <v>0</v>
      </c>
      <c r="J85" s="1819"/>
      <c r="K85" s="2648">
        <f>'Part II-Sources of Funds'!K42</f>
        <v>0</v>
      </c>
      <c r="L85" s="1622">
        <f>'Part II-Sources of Funds'!L42</f>
        <v>0</v>
      </c>
      <c r="M85" s="1622">
        <f>'Part II-Sources of Funds'!M42</f>
        <v>0</v>
      </c>
      <c r="N85" s="1819">
        <f>'Part II-Sources of Funds'!N42</f>
        <v>0</v>
      </c>
      <c r="O85" s="1819"/>
      <c r="P85" s="2550" t="str">
        <f>'Part II-Sources of Funds'!P42</f>
        <v/>
      </c>
      <c r="Q85" s="2550"/>
    </row>
    <row r="86" spans="1:17">
      <c r="A86" s="1819"/>
      <c r="B86" s="1819" t="s">
        <v>690</v>
      </c>
      <c r="C86" s="2644">
        <f>'Part II-Sources of Funds'!C43</f>
        <v>0</v>
      </c>
      <c r="D86" s="2644"/>
      <c r="E86" s="2644">
        <f>'Part II-Sources of Funds'!E43</f>
        <v>0</v>
      </c>
      <c r="F86" s="2644"/>
      <c r="G86" s="2644"/>
      <c r="H86" s="2644"/>
      <c r="I86" s="2647">
        <f>'Part II-Sources of Funds'!I43</f>
        <v>0</v>
      </c>
      <c r="J86" s="1819"/>
      <c r="K86" s="2648">
        <f>'Part II-Sources of Funds'!K43</f>
        <v>0</v>
      </c>
      <c r="L86" s="1622">
        <f>'Part II-Sources of Funds'!L43</f>
        <v>0</v>
      </c>
      <c r="M86" s="1622">
        <f>'Part II-Sources of Funds'!M43</f>
        <v>0</v>
      </c>
      <c r="N86" s="1819">
        <f>'Part II-Sources of Funds'!N43</f>
        <v>0</v>
      </c>
      <c r="O86" s="1819"/>
      <c r="P86" s="2550" t="str">
        <f>'Part II-Sources of Funds'!P43</f>
        <v/>
      </c>
      <c r="Q86" s="2550"/>
    </row>
    <row r="87" spans="1:17">
      <c r="A87" s="1819"/>
      <c r="B87" s="1819" t="s">
        <v>3943</v>
      </c>
      <c r="C87" s="1819"/>
      <c r="D87" s="1819"/>
      <c r="E87" s="2644">
        <f>'Part II-Sources of Funds'!E44</f>
        <v>0</v>
      </c>
      <c r="F87" s="2644"/>
      <c r="G87" s="2644"/>
      <c r="H87" s="2644"/>
      <c r="I87" s="2647">
        <f>'Part II-Sources of Funds'!I44</f>
        <v>0</v>
      </c>
      <c r="J87" s="1819"/>
      <c r="K87" s="2648"/>
      <c r="L87" s="1622"/>
      <c r="M87" s="1622"/>
      <c r="N87" s="1819"/>
      <c r="O87" s="1819"/>
      <c r="P87" s="2550"/>
      <c r="Q87" s="2550"/>
    </row>
    <row r="88" spans="1:17" ht="38.25">
      <c r="A88" s="1819"/>
      <c r="B88" s="1819" t="s">
        <v>220</v>
      </c>
      <c r="C88" s="1819"/>
      <c r="D88" s="2649">
        <f>'Part II-Sources of Funds'!D45</f>
        <v>6.1402999999999999E-2</v>
      </c>
      <c r="E88" s="2644" t="str">
        <f>'Part II-Sources of Funds'!E45</f>
        <v>Talon Development LLC</v>
      </c>
      <c r="F88" s="2644"/>
      <c r="G88" s="2644"/>
      <c r="H88" s="2644"/>
      <c r="I88" s="2647">
        <f>'Part II-Sources of Funds'!I45</f>
        <v>122806</v>
      </c>
      <c r="J88" s="1819"/>
      <c r="K88" s="2648">
        <f>'Part II-Sources of Funds'!K45</f>
        <v>0</v>
      </c>
      <c r="L88" s="1622">
        <f>'Part II-Sources of Funds'!L45</f>
        <v>1</v>
      </c>
      <c r="M88" s="1622">
        <f>'Part II-Sources of Funds'!M45</f>
        <v>1</v>
      </c>
      <c r="N88" s="1819" t="str">
        <f>'Part II-Sources of Funds'!N45</f>
        <v>Cash Flow</v>
      </c>
      <c r="O88" s="1819"/>
      <c r="P88" s="2550">
        <f>'Part II-Sources of Funds'!P45</f>
        <v>0</v>
      </c>
      <c r="Q88" s="2550"/>
    </row>
    <row r="89" spans="1:17" ht="13.5">
      <c r="A89" s="1819"/>
      <c r="B89" s="1819"/>
      <c r="C89" s="1819"/>
      <c r="D89" s="1819"/>
      <c r="E89" s="1819"/>
      <c r="F89" s="1819"/>
      <c r="G89" s="1819"/>
      <c r="H89" s="1819"/>
      <c r="I89" s="2650"/>
      <c r="J89" s="2651"/>
      <c r="K89" s="2648"/>
      <c r="L89" s="1622"/>
      <c r="M89" s="1622"/>
      <c r="N89" s="2551"/>
      <c r="O89" s="2551"/>
      <c r="P89" s="1622"/>
      <c r="Q89" s="1622"/>
    </row>
    <row r="90" spans="1:17" ht="13.5">
      <c r="A90" s="1819"/>
      <c r="B90" s="2640" t="s">
        <v>3405</v>
      </c>
      <c r="C90" s="1819"/>
      <c r="D90" s="2640"/>
      <c r="E90" s="2640" t="s">
        <v>3363</v>
      </c>
      <c r="F90" s="2652">
        <f>'Part II-Sources of Funds'!F47</f>
        <v>154006.80959976686</v>
      </c>
      <c r="G90" s="2640"/>
      <c r="H90" s="2653" t="s">
        <v>3404</v>
      </c>
      <c r="I90" s="2652">
        <f>'Part II-Sources of Funds'!I47</f>
        <v>122806</v>
      </c>
      <c r="J90" s="2640"/>
      <c r="K90" s="2653" t="s">
        <v>3406</v>
      </c>
      <c r="L90" s="2654">
        <f>'Part II-Sources of Funds'!L47</f>
        <v>0.79740629858607182</v>
      </c>
      <c r="M90" s="2654"/>
      <c r="N90" s="2550" t="s">
        <v>3847</v>
      </c>
      <c r="O90" s="2550"/>
      <c r="P90" s="1820">
        <f>'Part II-Sources of Funds'!P47</f>
        <v>0</v>
      </c>
      <c r="Q90" s="1820"/>
    </row>
    <row r="91" spans="1:17" ht="13.5">
      <c r="A91" s="1819"/>
      <c r="B91" s="1819"/>
      <c r="C91" s="1819"/>
      <c r="D91" s="1819"/>
      <c r="E91" s="1819"/>
      <c r="F91" s="1819"/>
      <c r="G91" s="1819"/>
      <c r="H91" s="1819"/>
      <c r="I91" s="2650"/>
      <c r="J91" s="2651"/>
      <c r="K91" s="2648"/>
      <c r="L91" s="1622"/>
      <c r="M91" s="1622"/>
      <c r="N91" s="2551"/>
      <c r="O91" s="2551"/>
      <c r="P91" s="1622"/>
      <c r="Q91" s="1622"/>
    </row>
    <row r="92" spans="1:17">
      <c r="A92" s="1819"/>
      <c r="B92" s="1819" t="s">
        <v>2047</v>
      </c>
      <c r="C92" s="1819"/>
      <c r="D92" s="1819"/>
      <c r="E92" s="2644">
        <f>'Part II-Sources of Funds'!E49</f>
        <v>0</v>
      </c>
      <c r="F92" s="2644"/>
      <c r="G92" s="2644"/>
      <c r="H92" s="2644"/>
      <c r="I92" s="2647">
        <f>'Part II-Sources of Funds'!I49</f>
        <v>0</v>
      </c>
      <c r="J92" s="1819"/>
      <c r="K92" s="1819"/>
      <c r="L92" s="1819"/>
      <c r="M92" s="1819"/>
      <c r="N92" s="1819"/>
      <c r="O92" s="1819"/>
      <c r="P92" s="1622" t="s">
        <v>483</v>
      </c>
      <c r="Q92" s="1819"/>
    </row>
    <row r="93" spans="1:17" ht="13.5">
      <c r="A93" s="1819"/>
      <c r="B93" s="1819" t="s">
        <v>745</v>
      </c>
      <c r="C93" s="1819"/>
      <c r="D93" s="1819"/>
      <c r="E93" s="2644">
        <f>'Part II-Sources of Funds'!E50</f>
        <v>0</v>
      </c>
      <c r="F93" s="2644"/>
      <c r="G93" s="2644"/>
      <c r="H93" s="2644"/>
      <c r="I93" s="2647">
        <f>'Part II-Sources of Funds'!I50</f>
        <v>0</v>
      </c>
      <c r="J93" s="1819"/>
      <c r="K93" s="2640"/>
      <c r="L93" s="2655" t="s">
        <v>484</v>
      </c>
      <c r="M93" s="2655"/>
      <c r="N93" s="2656" t="s">
        <v>485</v>
      </c>
      <c r="O93" s="2656"/>
      <c r="P93" s="2657" t="s">
        <v>2357</v>
      </c>
      <c r="Q93" s="1819"/>
    </row>
    <row r="94" spans="1:17" ht="25.5">
      <c r="A94" s="1819"/>
      <c r="B94" s="1819" t="s">
        <v>746</v>
      </c>
      <c r="C94" s="1819"/>
      <c r="D94" s="1819"/>
      <c r="E94" s="2644" t="str">
        <f>'Part II-Sources of Funds'!E51</f>
        <v>Direct Tax Credits</v>
      </c>
      <c r="F94" s="2644"/>
      <c r="G94" s="2644"/>
      <c r="H94" s="2644"/>
      <c r="I94" s="2647">
        <f>'Part II-Sources of Funds'!I51</f>
        <v>10901410</v>
      </c>
      <c r="J94" s="1819"/>
      <c r="K94" s="2640"/>
      <c r="L94" s="2658">
        <f>'Part II-Sources of Funds'!L51</f>
        <v>10902500</v>
      </c>
      <c r="M94" s="2658"/>
      <c r="N94" s="2659">
        <f>I94-L94</f>
        <v>-1090</v>
      </c>
      <c r="O94" s="2659"/>
      <c r="P94" s="2660">
        <f>I94/I104</f>
        <v>0.42913841411586717</v>
      </c>
      <c r="Q94" s="1819"/>
    </row>
    <row r="95" spans="1:17" ht="25.5">
      <c r="A95" s="1819"/>
      <c r="B95" s="1819" t="s">
        <v>747</v>
      </c>
      <c r="C95" s="1819"/>
      <c r="D95" s="1819"/>
      <c r="E95" s="2644" t="str">
        <f>'Part II-Sources of Funds'!E52</f>
        <v>Direct Tax Credits</v>
      </c>
      <c r="F95" s="2644"/>
      <c r="G95" s="2644"/>
      <c r="H95" s="2644"/>
      <c r="I95" s="2647">
        <f>'Part II-Sources of Funds'!I52</f>
        <v>7105000</v>
      </c>
      <c r="J95" s="1819"/>
      <c r="K95" s="2640"/>
      <c r="L95" s="2658">
        <f>'Part II-Sources of Funds'!L52</f>
        <v>7104999.9999999991</v>
      </c>
      <c r="M95" s="2658"/>
      <c r="N95" s="2659">
        <f>I95-L95</f>
        <v>0</v>
      </c>
      <c r="O95" s="2659"/>
      <c r="P95" s="2660">
        <f>I95/I104</f>
        <v>0.27969119887181898</v>
      </c>
      <c r="Q95" s="1819"/>
    </row>
    <row r="96" spans="1:17" ht="13.5">
      <c r="A96" s="1819"/>
      <c r="B96" s="1819" t="s">
        <v>1331</v>
      </c>
      <c r="C96" s="1819"/>
      <c r="D96" s="1819"/>
      <c r="E96" s="2644">
        <f>'Part II-Sources of Funds'!E53</f>
        <v>0</v>
      </c>
      <c r="F96" s="2644"/>
      <c r="G96" s="2644"/>
      <c r="H96" s="2644"/>
      <c r="I96" s="2647">
        <f>'Part II-Sources of Funds'!I53</f>
        <v>0</v>
      </c>
      <c r="J96" s="1819"/>
      <c r="K96" s="2640"/>
      <c r="L96" s="2640"/>
      <c r="M96" s="2640"/>
      <c r="N96" s="2640"/>
      <c r="O96" s="2640"/>
      <c r="P96" s="2660">
        <f>SUM(P94:P95)</f>
        <v>0.7088296129876861</v>
      </c>
      <c r="Q96" s="1819"/>
    </row>
    <row r="97" spans="1:17" ht="13.5">
      <c r="A97" s="1819"/>
      <c r="B97" s="1819" t="s">
        <v>497</v>
      </c>
      <c r="C97" s="1819"/>
      <c r="D97" s="1819"/>
      <c r="E97" s="2644">
        <f>'Part II-Sources of Funds'!E54</f>
        <v>0</v>
      </c>
      <c r="F97" s="2644"/>
      <c r="G97" s="2644"/>
      <c r="H97" s="2644"/>
      <c r="I97" s="2647">
        <f>'Part II-Sources of Funds'!I54</f>
        <v>0</v>
      </c>
      <c r="J97" s="1819"/>
      <c r="K97" s="1819"/>
      <c r="L97" s="2640"/>
      <c r="M97" s="2640"/>
      <c r="N97" s="2640"/>
      <c r="O97" s="2640"/>
      <c r="P97" s="2640"/>
      <c r="Q97" s="1819"/>
    </row>
    <row r="98" spans="1:17" ht="13.5">
      <c r="A98" s="1819"/>
      <c r="B98" s="1819" t="s">
        <v>1732</v>
      </c>
      <c r="C98" s="1819"/>
      <c r="D98" s="1819"/>
      <c r="E98" s="2644">
        <f>'Part II-Sources of Funds'!E55</f>
        <v>0</v>
      </c>
      <c r="F98" s="2644"/>
      <c r="G98" s="2644"/>
      <c r="H98" s="2644"/>
      <c r="I98" s="2647">
        <f>'Part II-Sources of Funds'!I55</f>
        <v>0</v>
      </c>
      <c r="J98" s="1819"/>
      <c r="K98" s="2640"/>
      <c r="L98" s="2640"/>
      <c r="M98" s="2640"/>
      <c r="N98" s="2644"/>
      <c r="O98" s="2644"/>
      <c r="P98" s="2644"/>
      <c r="Q98" s="1819"/>
    </row>
    <row r="99" spans="1:17" ht="13.5">
      <c r="A99" s="1819"/>
      <c r="B99" s="1819" t="s">
        <v>1733</v>
      </c>
      <c r="C99" s="1819"/>
      <c r="D99" s="1819"/>
      <c r="E99" s="2644">
        <f>'Part II-Sources of Funds'!E56</f>
        <v>0</v>
      </c>
      <c r="F99" s="2644"/>
      <c r="G99" s="2644"/>
      <c r="H99" s="2644"/>
      <c r="I99" s="2647">
        <f>'Part II-Sources of Funds'!I56</f>
        <v>0</v>
      </c>
      <c r="J99" s="1819"/>
      <c r="K99" s="2640"/>
      <c r="L99" s="2640"/>
      <c r="M99" s="2644"/>
      <c r="N99" s="2644"/>
      <c r="O99" s="2644"/>
      <c r="P99" s="2644"/>
      <c r="Q99" s="1819"/>
    </row>
    <row r="100" spans="1:17" ht="13.5">
      <c r="A100" s="1819"/>
      <c r="B100" s="1819" t="s">
        <v>690</v>
      </c>
      <c r="C100" s="2644">
        <f>'Part II-Sources of Funds'!C57</f>
        <v>0</v>
      </c>
      <c r="D100" s="2644"/>
      <c r="E100" s="2644">
        <f>'Part II-Sources of Funds'!E57</f>
        <v>0</v>
      </c>
      <c r="F100" s="2644"/>
      <c r="G100" s="2644"/>
      <c r="H100" s="2644"/>
      <c r="I100" s="2647">
        <f>'Part II-Sources of Funds'!I57</f>
        <v>0</v>
      </c>
      <c r="J100" s="1819"/>
      <c r="K100" s="2640"/>
      <c r="L100" s="2640"/>
      <c r="M100" s="2644"/>
      <c r="N100" s="2644"/>
      <c r="O100" s="2644"/>
      <c r="P100" s="2644"/>
      <c r="Q100" s="1819"/>
    </row>
    <row r="101" spans="1:17">
      <c r="A101" s="1819"/>
      <c r="B101" s="1819" t="s">
        <v>690</v>
      </c>
      <c r="C101" s="2644">
        <f>'Part II-Sources of Funds'!C58</f>
        <v>0</v>
      </c>
      <c r="D101" s="2644"/>
      <c r="E101" s="2644">
        <f>'Part II-Sources of Funds'!E58</f>
        <v>0</v>
      </c>
      <c r="F101" s="2644"/>
      <c r="G101" s="2644"/>
      <c r="H101" s="2644"/>
      <c r="I101" s="2647">
        <f>'Part II-Sources of Funds'!I58</f>
        <v>0</v>
      </c>
      <c r="J101" s="1819"/>
      <c r="K101" s="1819"/>
      <c r="L101" s="1622"/>
      <c r="M101" s="2644"/>
      <c r="N101" s="2644"/>
      <c r="O101" s="2644"/>
      <c r="P101" s="2644"/>
      <c r="Q101" s="1819"/>
    </row>
    <row r="102" spans="1:17">
      <c r="A102" s="1819"/>
      <c r="B102" s="1819" t="s">
        <v>690</v>
      </c>
      <c r="C102" s="2644">
        <f>'Part II-Sources of Funds'!C59</f>
        <v>0</v>
      </c>
      <c r="D102" s="2644"/>
      <c r="E102" s="2644">
        <f>'Part II-Sources of Funds'!E59</f>
        <v>0</v>
      </c>
      <c r="F102" s="2644"/>
      <c r="G102" s="2644"/>
      <c r="H102" s="2644"/>
      <c r="I102" s="2647">
        <f>'Part II-Sources of Funds'!I59</f>
        <v>0</v>
      </c>
      <c r="J102" s="1819"/>
      <c r="K102" s="1819"/>
      <c r="L102" s="1622"/>
      <c r="M102" s="2644"/>
      <c r="N102" s="2644"/>
      <c r="O102" s="2644"/>
      <c r="P102" s="2644"/>
      <c r="Q102" s="1819"/>
    </row>
    <row r="103" spans="1:17" ht="13.5">
      <c r="A103" s="1819"/>
      <c r="B103" s="2622" t="s">
        <v>2048</v>
      </c>
      <c r="C103" s="1819"/>
      <c r="D103" s="1819"/>
      <c r="E103" s="1819"/>
      <c r="F103" s="1819"/>
      <c r="G103" s="1819"/>
      <c r="H103" s="2640"/>
      <c r="I103" s="2549">
        <f>SUM(I83:J88)+SUM(I92:J102)</f>
        <v>25403016</v>
      </c>
      <c r="J103" s="2549"/>
      <c r="K103" s="1819"/>
      <c r="L103" s="1622"/>
      <c r="M103" s="2644"/>
      <c r="N103" s="2644"/>
      <c r="O103" s="2644"/>
      <c r="P103" s="2644"/>
      <c r="Q103" s="1819"/>
    </row>
    <row r="104" spans="1:17" ht="13.5">
      <c r="A104" s="1819"/>
      <c r="B104" s="2622" t="s">
        <v>2049</v>
      </c>
      <c r="C104" s="1819"/>
      <c r="D104" s="1819"/>
      <c r="E104" s="1819"/>
      <c r="F104" s="1819"/>
      <c r="G104" s="1819"/>
      <c r="H104" s="2640"/>
      <c r="I104" s="2549">
        <f>'Part III-A-Uses of Funds'!$G$146</f>
        <v>25403016</v>
      </c>
      <c r="J104" s="2549"/>
      <c r="K104" s="1819"/>
      <c r="L104" s="1622"/>
      <c r="M104" s="2644"/>
      <c r="N104" s="2644"/>
      <c r="O104" s="2644"/>
      <c r="P104" s="2644"/>
      <c r="Q104" s="1819"/>
    </row>
    <row r="105" spans="1:17" ht="13.5">
      <c r="A105" s="1819"/>
      <c r="B105" s="2622" t="s">
        <v>1428</v>
      </c>
      <c r="C105" s="1819"/>
      <c r="D105" s="1819"/>
      <c r="E105" s="1819"/>
      <c r="F105" s="1819"/>
      <c r="G105" s="1819"/>
      <c r="H105" s="2640"/>
      <c r="I105" s="2646">
        <f>I103-I104</f>
        <v>0</v>
      </c>
      <c r="J105" s="2646"/>
      <c r="K105" s="1819"/>
      <c r="L105" s="1622"/>
      <c r="M105" s="2644"/>
      <c r="N105" s="2644"/>
      <c r="O105" s="2644"/>
      <c r="P105" s="2644"/>
      <c r="Q105" s="1819"/>
    </row>
    <row r="106" spans="1:17">
      <c r="A106" s="1819" t="s">
        <v>3944</v>
      </c>
      <c r="B106" s="2622"/>
      <c r="C106" s="1819"/>
      <c r="D106" s="1819"/>
      <c r="E106" s="1819"/>
      <c r="F106" s="1819"/>
      <c r="G106" s="1819"/>
      <c r="H106" s="2651"/>
      <c r="I106" s="2651"/>
      <c r="J106" s="378"/>
      <c r="K106" s="1819"/>
      <c r="L106" s="1622"/>
      <c r="M106" s="2644"/>
      <c r="N106" s="2644"/>
      <c r="O106" s="2644"/>
      <c r="P106" s="2644"/>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3" t="s">
        <v>1666</v>
      </c>
      <c r="B108" s="2613" t="s">
        <v>530</v>
      </c>
      <c r="C108" s="378"/>
      <c r="D108" s="378"/>
      <c r="E108" s="378"/>
      <c r="F108" s="378"/>
      <c r="G108" s="378"/>
      <c r="H108" s="378"/>
      <c r="I108" s="378"/>
      <c r="J108" s="378"/>
      <c r="K108" s="2639"/>
      <c r="L108" s="2639"/>
      <c r="M108" s="2613" t="s">
        <v>1666</v>
      </c>
      <c r="N108" s="2613" t="s">
        <v>74</v>
      </c>
      <c r="O108" s="378"/>
      <c r="P108" s="378"/>
      <c r="Q108" s="378"/>
    </row>
    <row r="109" spans="1:17" ht="13.5">
      <c r="A109" s="2638">
        <f>'Part II-Sources of Funds'!A66</f>
        <v>0</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c r="A115" s="2613" t="str">
        <f>CONCATENATE("PART THREE (A):  USES OF FUNDS","  -  ",'Part I-Project Identification'!$O$7," ",'Part I-Project Identification'!$F$25,", ",'Part I-Project Identification'!F143,", ",'Part I-Project Identification'!J143," County")</f>
        <v>PART THREE (A):  USES OF FUNDS  -  2023-0 Helix,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9"/>
      <c r="V117" s="1819"/>
    </row>
    <row r="118" spans="1:22" ht="16.5">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9"/>
      <c r="V118" s="1819"/>
    </row>
    <row r="119" spans="1:22" ht="17.25" customHeight="1">
      <c r="A119" s="2661" t="s">
        <v>573</v>
      </c>
      <c r="B119" s="2661" t="s">
        <v>842</v>
      </c>
      <c r="C119" s="1819"/>
      <c r="D119" s="2662" t="str">
        <f>'Part I-Project Identification'!$A$6</f>
        <v>April 2023</v>
      </c>
      <c r="E119" s="2662"/>
      <c r="F119" s="2662"/>
      <c r="G119" s="2662"/>
      <c r="H119" s="2662"/>
      <c r="I119" s="2661"/>
      <c r="J119" s="2615" t="s">
        <v>259</v>
      </c>
      <c r="K119" s="2615"/>
      <c r="L119" s="2546"/>
      <c r="M119" s="2552" t="s">
        <v>460</v>
      </c>
      <c r="N119" s="2552"/>
      <c r="O119" s="1819"/>
      <c r="P119" s="2615" t="s">
        <v>260</v>
      </c>
      <c r="Q119" s="2615"/>
      <c r="R119" s="1819"/>
      <c r="S119" s="2615" t="s">
        <v>261</v>
      </c>
      <c r="T119" s="2615"/>
      <c r="U119" s="1819"/>
      <c r="V119" s="2663" t="str">
        <f>B119</f>
        <v>DEVELOPMENT BUDGET</v>
      </c>
    </row>
    <row r="120" spans="1:22" ht="15">
      <c r="A120" s="1819"/>
      <c r="B120" s="1819"/>
      <c r="C120" s="1819"/>
      <c r="D120" s="2662"/>
      <c r="E120" s="2662"/>
      <c r="F120" s="2662"/>
      <c r="G120" s="2613" t="s">
        <v>95</v>
      </c>
      <c r="H120" s="2613"/>
      <c r="I120" s="1819"/>
      <c r="J120" s="2615"/>
      <c r="K120" s="2615"/>
      <c r="L120" s="2546"/>
      <c r="M120" s="2552"/>
      <c r="N120" s="2552"/>
      <c r="O120" s="1819"/>
      <c r="P120" s="2615"/>
      <c r="Q120" s="2615"/>
      <c r="R120" s="1819"/>
      <c r="S120" s="2615"/>
      <c r="T120" s="2615"/>
      <c r="U120" s="1819"/>
      <c r="V120" s="377" t="s">
        <v>2448</v>
      </c>
    </row>
    <row r="121" spans="1:22">
      <c r="A121" s="1819"/>
      <c r="B121" s="2613" t="s">
        <v>96</v>
      </c>
      <c r="C121" s="1819"/>
      <c r="D121" s="1819"/>
      <c r="E121" s="1819"/>
      <c r="F121" s="1819"/>
      <c r="G121" s="1819"/>
      <c r="H121" s="1819"/>
      <c r="I121" s="1819"/>
      <c r="J121" s="1819"/>
      <c r="K121" s="1819"/>
      <c r="L121" s="1819"/>
      <c r="M121" s="1819"/>
      <c r="N121" s="1819"/>
      <c r="O121" s="2614" t="str">
        <f>B121</f>
        <v>PRE-DEVELOPMENT COSTS</v>
      </c>
      <c r="P121" s="1819"/>
      <c r="Q121" s="1819"/>
      <c r="R121" s="1819"/>
      <c r="S121" s="1819"/>
      <c r="T121" s="1819"/>
      <c r="U121" s="1819"/>
      <c r="V121" s="1819"/>
    </row>
    <row r="122" spans="1:22">
      <c r="A122" s="1819"/>
      <c r="B122" s="1819" t="s">
        <v>1855</v>
      </c>
      <c r="C122" s="1819"/>
      <c r="D122" s="1819"/>
      <c r="E122" s="1819"/>
      <c r="F122" s="1819"/>
      <c r="G122" s="2546">
        <f>'Part III-A-Uses of Funds'!G9</f>
        <v>15000</v>
      </c>
      <c r="H122" s="2546"/>
      <c r="I122" s="1819"/>
      <c r="J122" s="2546">
        <f>'Part III-A-Uses of Funds'!J9</f>
        <v>15000</v>
      </c>
      <c r="K122" s="2546"/>
      <c r="L122" s="2544"/>
      <c r="M122" s="2546">
        <f>'Part III-A-Uses of Funds'!M9</f>
        <v>0</v>
      </c>
      <c r="N122" s="2546"/>
      <c r="O122" s="1819"/>
      <c r="P122" s="2546">
        <f>'Part III-A-Uses of Funds'!P9</f>
        <v>0</v>
      </c>
      <c r="Q122" s="2546"/>
      <c r="R122" s="1819"/>
      <c r="S122" s="2546">
        <f>'Part III-A-Uses of Funds'!S9</f>
        <v>0</v>
      </c>
      <c r="T122" s="2546"/>
      <c r="U122" s="1819"/>
      <c r="V122" s="2664"/>
    </row>
    <row r="123" spans="1:22">
      <c r="A123" s="1819"/>
      <c r="B123" s="1819" t="s">
        <v>431</v>
      </c>
      <c r="C123" s="1819"/>
      <c r="D123" s="1819"/>
      <c r="E123" s="1819"/>
      <c r="F123" s="1819"/>
      <c r="G123" s="2546">
        <f>'Part III-A-Uses of Funds'!G10</f>
        <v>6500</v>
      </c>
      <c r="H123" s="2546"/>
      <c r="I123" s="1819"/>
      <c r="J123" s="2546">
        <f>'Part III-A-Uses of Funds'!J10</f>
        <v>6500</v>
      </c>
      <c r="K123" s="2546"/>
      <c r="L123" s="2544"/>
      <c r="M123" s="2546">
        <f>'Part III-A-Uses of Funds'!M10</f>
        <v>0</v>
      </c>
      <c r="N123" s="2546"/>
      <c r="O123" s="1819"/>
      <c r="P123" s="2546">
        <f>'Part III-A-Uses of Funds'!P10</f>
        <v>0</v>
      </c>
      <c r="Q123" s="2546"/>
      <c r="R123" s="1819"/>
      <c r="S123" s="2546">
        <f>'Part III-A-Uses of Funds'!S10</f>
        <v>0</v>
      </c>
      <c r="T123" s="2546"/>
      <c r="U123" s="1819"/>
      <c r="V123" s="2664"/>
    </row>
    <row r="124" spans="1:22">
      <c r="A124" s="1819"/>
      <c r="B124" s="1819" t="s">
        <v>458</v>
      </c>
      <c r="C124" s="1819"/>
      <c r="D124" s="1819"/>
      <c r="E124" s="1819"/>
      <c r="F124" s="1819"/>
      <c r="G124" s="2546">
        <f>'Part III-A-Uses of Funds'!G11</f>
        <v>36000</v>
      </c>
      <c r="H124" s="2546"/>
      <c r="I124" s="1819"/>
      <c r="J124" s="2546">
        <f>'Part III-A-Uses of Funds'!J11</f>
        <v>36000</v>
      </c>
      <c r="K124" s="2546"/>
      <c r="L124" s="2544"/>
      <c r="M124" s="2546">
        <f>'Part III-A-Uses of Funds'!M11</f>
        <v>0</v>
      </c>
      <c r="N124" s="2546"/>
      <c r="O124" s="1819"/>
      <c r="P124" s="2546">
        <f>'Part III-A-Uses of Funds'!P11</f>
        <v>0</v>
      </c>
      <c r="Q124" s="2546"/>
      <c r="R124" s="1819"/>
      <c r="S124" s="2546">
        <f>'Part III-A-Uses of Funds'!S11</f>
        <v>0</v>
      </c>
      <c r="T124" s="2546"/>
      <c r="U124" s="1819"/>
      <c r="V124" s="2664"/>
    </row>
    <row r="125" spans="1:22">
      <c r="A125" s="1819"/>
      <c r="B125" s="1819" t="s">
        <v>459</v>
      </c>
      <c r="C125" s="1819"/>
      <c r="D125" s="1819"/>
      <c r="E125" s="1819"/>
      <c r="F125" s="1819"/>
      <c r="G125" s="2546">
        <f>'Part III-A-Uses of Funds'!G12</f>
        <v>25000</v>
      </c>
      <c r="H125" s="2546"/>
      <c r="I125" s="1819"/>
      <c r="J125" s="2546">
        <f>'Part III-A-Uses of Funds'!J12</f>
        <v>25000</v>
      </c>
      <c r="K125" s="2546"/>
      <c r="L125" s="2544"/>
      <c r="M125" s="2546">
        <f>'Part III-A-Uses of Funds'!M12</f>
        <v>0</v>
      </c>
      <c r="N125" s="2546"/>
      <c r="O125" s="1819"/>
      <c r="P125" s="2546">
        <f>'Part III-A-Uses of Funds'!P12</f>
        <v>0</v>
      </c>
      <c r="Q125" s="2546"/>
      <c r="R125" s="1819"/>
      <c r="S125" s="2546">
        <f>'Part III-A-Uses of Funds'!S12</f>
        <v>0</v>
      </c>
      <c r="T125" s="2546"/>
      <c r="U125" s="1819"/>
      <c r="V125" s="2664"/>
    </row>
    <row r="126" spans="1:22">
      <c r="A126" s="1819"/>
      <c r="B126" s="1819" t="s">
        <v>2301</v>
      </c>
      <c r="C126" s="1819"/>
      <c r="D126" s="1819"/>
      <c r="E126" s="1819"/>
      <c r="F126" s="1819"/>
      <c r="G126" s="2546">
        <f>'Part III-A-Uses of Funds'!G13</f>
        <v>30000</v>
      </c>
      <c r="H126" s="2546"/>
      <c r="I126" s="1819"/>
      <c r="J126" s="2546">
        <f>'Part III-A-Uses of Funds'!J13</f>
        <v>30000</v>
      </c>
      <c r="K126" s="2546"/>
      <c r="L126" s="2544"/>
      <c r="M126" s="2546">
        <f>'Part III-A-Uses of Funds'!M13</f>
        <v>0</v>
      </c>
      <c r="N126" s="2546"/>
      <c r="O126" s="1819"/>
      <c r="P126" s="2546">
        <f>'Part III-A-Uses of Funds'!P13</f>
        <v>0</v>
      </c>
      <c r="Q126" s="2546"/>
      <c r="R126" s="1819"/>
      <c r="S126" s="2546">
        <f>'Part III-A-Uses of Funds'!S13</f>
        <v>0</v>
      </c>
      <c r="T126" s="2546"/>
      <c r="U126" s="1819"/>
      <c r="V126" s="2664"/>
    </row>
    <row r="127" spans="1:22">
      <c r="A127" s="1819"/>
      <c r="B127" s="1819" t="s">
        <v>183</v>
      </c>
      <c r="C127" s="1819"/>
      <c r="D127" s="1819"/>
      <c r="E127" s="1819"/>
      <c r="F127" s="1819"/>
      <c r="G127" s="2546">
        <f>'Part III-A-Uses of Funds'!G14</f>
        <v>0</v>
      </c>
      <c r="H127" s="2546"/>
      <c r="I127" s="1819"/>
      <c r="J127" s="2546">
        <f>'Part III-A-Uses of Funds'!J14</f>
        <v>0</v>
      </c>
      <c r="K127" s="2546"/>
      <c r="L127" s="2544"/>
      <c r="M127" s="2546">
        <f>'Part III-A-Uses of Funds'!M14</f>
        <v>0</v>
      </c>
      <c r="N127" s="2546"/>
      <c r="O127" s="1819"/>
      <c r="P127" s="2546">
        <f>'Part III-A-Uses of Funds'!P14</f>
        <v>0</v>
      </c>
      <c r="Q127" s="2546"/>
      <c r="R127" s="1819"/>
      <c r="S127" s="2546">
        <f>'Part III-A-Uses of Funds'!S14</f>
        <v>0</v>
      </c>
      <c r="T127" s="2546"/>
      <c r="U127" s="1819"/>
      <c r="V127" s="2664"/>
    </row>
    <row r="128" spans="1:22" ht="15.75" customHeight="1">
      <c r="A128" s="2665" t="str">
        <f>IF(AND(G128&gt;0,OR(C128="",C128="&lt;Enter detailed description here; use Comments section if needed&gt;")),"X","")</f>
        <v/>
      </c>
      <c r="B128" s="2621" t="s">
        <v>6271</v>
      </c>
      <c r="C128" s="2666" t="str">
        <f>'Part III-A-Uses of Funds'!C15</f>
        <v>Contruction Materials Testing</v>
      </c>
      <c r="D128" s="2666"/>
      <c r="E128" s="2666"/>
      <c r="F128" s="2666"/>
      <c r="G128" s="2546">
        <f>'Part III-A-Uses of Funds'!G15</f>
        <v>105000</v>
      </c>
      <c r="H128" s="2546"/>
      <c r="I128" s="1819"/>
      <c r="J128" s="2546">
        <f>'Part III-A-Uses of Funds'!J15</f>
        <v>105000</v>
      </c>
      <c r="K128" s="2546"/>
      <c r="L128" s="2544"/>
      <c r="M128" s="2546">
        <f>'Part III-A-Uses of Funds'!M15</f>
        <v>0</v>
      </c>
      <c r="N128" s="2546"/>
      <c r="O128" s="1819"/>
      <c r="P128" s="2546">
        <f>'Part III-A-Uses of Funds'!P15</f>
        <v>0</v>
      </c>
      <c r="Q128" s="2546"/>
      <c r="R128" s="1819"/>
      <c r="S128" s="2546">
        <f>'Part III-A-Uses of Funds'!S15</f>
        <v>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6272</v>
      </c>
      <c r="C129" s="2666" t="str">
        <f>'Part III-A-Uses of Funds'!C16</f>
        <v>NPDES Testing</v>
      </c>
      <c r="D129" s="2666"/>
      <c r="E129" s="2666"/>
      <c r="F129" s="2666"/>
      <c r="G129" s="2546">
        <f>'Part III-A-Uses of Funds'!G16</f>
        <v>32000</v>
      </c>
      <c r="H129" s="2546"/>
      <c r="I129" s="1819"/>
      <c r="J129" s="2546">
        <f>'Part III-A-Uses of Funds'!J16</f>
        <v>32000</v>
      </c>
      <c r="K129" s="2546"/>
      <c r="L129" s="2544"/>
      <c r="M129" s="2546">
        <f>'Part III-A-Uses of Funds'!M16</f>
        <v>0</v>
      </c>
      <c r="N129" s="2546"/>
      <c r="O129" s="1819"/>
      <c r="P129" s="2546">
        <f>'Part III-A-Uses of Funds'!P16</f>
        <v>0</v>
      </c>
      <c r="Q129" s="2546"/>
      <c r="R129" s="1819"/>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6273</v>
      </c>
      <c r="C130" s="2666" t="str">
        <f>'Part III-A-Uses of Funds'!C17</f>
        <v>&lt;&lt; Enter description here; provide detail &amp; justification in tab Part III-b &gt;&gt;</v>
      </c>
      <c r="D130" s="2666"/>
      <c r="E130" s="2666"/>
      <c r="F130" s="2666"/>
      <c r="G130" s="2546">
        <f>'Part III-A-Uses of Funds'!G17</f>
        <v>0</v>
      </c>
      <c r="H130" s="2546"/>
      <c r="I130" s="1819"/>
      <c r="J130" s="2546">
        <f>'Part III-A-Uses of Funds'!J17</f>
        <v>0</v>
      </c>
      <c r="K130" s="2546"/>
      <c r="L130" s="2544"/>
      <c r="M130" s="2546">
        <f>'Part III-A-Uses of Funds'!M17</f>
        <v>0</v>
      </c>
      <c r="N130" s="2546"/>
      <c r="O130" s="1819"/>
      <c r="P130" s="2546">
        <f>'Part III-A-Uses of Funds'!P17</f>
        <v>0</v>
      </c>
      <c r="Q130" s="2546"/>
      <c r="R130" s="1819"/>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c r="A131" s="1819"/>
      <c r="B131" s="1819"/>
      <c r="C131" s="1819"/>
      <c r="D131" s="1819"/>
      <c r="E131" s="1819"/>
      <c r="F131" s="2668" t="s">
        <v>184</v>
      </c>
      <c r="G131" s="2546">
        <f>SUM(G122:G130)</f>
        <v>249500</v>
      </c>
      <c r="H131" s="2546"/>
      <c r="I131" s="1819"/>
      <c r="J131" s="2546">
        <f>SUM(J122:J130)</f>
        <v>249500</v>
      </c>
      <c r="K131" s="2546"/>
      <c r="L131" s="2544"/>
      <c r="M131" s="2546">
        <f>SUM(M122:M130)</f>
        <v>0</v>
      </c>
      <c r="N131" s="2546"/>
      <c r="O131" s="1819"/>
      <c r="P131" s="2546">
        <f>SUM(P122:P130)</f>
        <v>0</v>
      </c>
      <c r="Q131" s="2546"/>
      <c r="R131" s="1819"/>
      <c r="S131" s="2546">
        <f>SUM(S122:S130)</f>
        <v>0</v>
      </c>
      <c r="T131" s="2546"/>
      <c r="U131" s="1819"/>
      <c r="V131" s="2664">
        <f>SUM(V122:V130)</f>
        <v>0</v>
      </c>
    </row>
    <row r="132" spans="1:22">
      <c r="A132" s="1819"/>
      <c r="B132" s="2613" t="s">
        <v>2037</v>
      </c>
      <c r="C132" s="1819"/>
      <c r="D132" s="1819"/>
      <c r="E132" s="1819"/>
      <c r="F132" s="1819"/>
      <c r="G132" s="1819"/>
      <c r="H132" s="1819"/>
      <c r="I132" s="1819"/>
      <c r="J132" s="2546"/>
      <c r="K132" s="2546"/>
      <c r="L132" s="1819"/>
      <c r="M132" s="2546"/>
      <c r="N132" s="2546"/>
      <c r="O132" s="2553" t="str">
        <f>B132</f>
        <v>ACQUISITION</v>
      </c>
      <c r="P132" s="2546"/>
      <c r="Q132" s="2546"/>
      <c r="R132" s="1819"/>
      <c r="S132" s="2546"/>
      <c r="T132" s="2546"/>
      <c r="U132" s="1819"/>
      <c r="V132" s="2664"/>
    </row>
    <row r="133" spans="1:22">
      <c r="A133" s="1819"/>
      <c r="B133" s="1819" t="s">
        <v>2038</v>
      </c>
      <c r="C133" s="1819"/>
      <c r="D133" s="1819"/>
      <c r="E133" s="2669" t="s">
        <v>3220</v>
      </c>
      <c r="F133" s="2670">
        <f>IF('Part I-Project Identification'!$O$27="","",G133/'Part I-Project Identification'!$O$27)</f>
        <v>125324.11408815903</v>
      </c>
      <c r="G133" s="2546">
        <f>'Part III-A-Uses of Funds'!G20</f>
        <v>1450000</v>
      </c>
      <c r="H133" s="2546"/>
      <c r="I133" s="1819"/>
      <c r="J133" s="2544"/>
      <c r="K133" s="2546"/>
      <c r="L133" s="2544"/>
      <c r="M133" s="2544"/>
      <c r="N133" s="2546"/>
      <c r="O133" s="1819"/>
      <c r="P133" s="2544"/>
      <c r="Q133" s="2546"/>
      <c r="R133" s="1819"/>
      <c r="S133" s="2546">
        <f>'Part III-A-Uses of Funds'!S20</f>
        <v>1450000</v>
      </c>
      <c r="T133" s="2546"/>
      <c r="U133" s="1819"/>
      <c r="V133" s="2664"/>
    </row>
    <row r="134" spans="1:22">
      <c r="A134" s="1819"/>
      <c r="B134" s="1819" t="s">
        <v>1054</v>
      </c>
      <c r="C134" s="1819"/>
      <c r="D134" s="1819"/>
      <c r="E134" s="1819"/>
      <c r="F134" s="1819"/>
      <c r="G134" s="2546">
        <f>'Part III-A-Uses of Funds'!G21</f>
        <v>0</v>
      </c>
      <c r="H134" s="2546"/>
      <c r="I134" s="1819"/>
      <c r="J134" s="2544"/>
      <c r="K134" s="2546"/>
      <c r="L134" s="2544"/>
      <c r="M134" s="2544"/>
      <c r="N134" s="2546"/>
      <c r="O134" s="1819"/>
      <c r="P134" s="2544"/>
      <c r="Q134" s="2546"/>
      <c r="R134" s="1819"/>
      <c r="S134" s="2546">
        <f>'Part III-A-Uses of Funds'!S21</f>
        <v>0</v>
      </c>
      <c r="T134" s="2546"/>
      <c r="U134" s="1819"/>
      <c r="V134" s="2664"/>
    </row>
    <row r="135" spans="1:22">
      <c r="A135" s="1819"/>
      <c r="B135" s="1819" t="s">
        <v>432</v>
      </c>
      <c r="C135" s="1819"/>
      <c r="D135" s="1819"/>
      <c r="E135" s="1819"/>
      <c r="F135" s="1819"/>
      <c r="G135" s="2546">
        <f>'Part III-A-Uses of Funds'!G22</f>
        <v>0</v>
      </c>
      <c r="H135" s="2546"/>
      <c r="I135" s="1819"/>
      <c r="J135" s="2544"/>
      <c r="K135" s="2546"/>
      <c r="L135" s="2544"/>
      <c r="M135" s="2546">
        <f>'Part III-A-Uses of Funds'!M22</f>
        <v>0</v>
      </c>
      <c r="N135" s="2546"/>
      <c r="O135" s="1819"/>
      <c r="P135" s="2544"/>
      <c r="Q135" s="2546"/>
      <c r="R135" s="1819"/>
      <c r="S135" s="2546">
        <f>'Part III-A-Uses of Funds'!S22</f>
        <v>0</v>
      </c>
      <c r="T135" s="2546"/>
      <c r="U135" s="1819"/>
      <c r="V135" s="2664"/>
    </row>
    <row r="136" spans="1:22">
      <c r="A136" s="1819"/>
      <c r="B136" s="1819" t="s">
        <v>405</v>
      </c>
      <c r="C136" s="1819"/>
      <c r="D136" s="1819"/>
      <c r="E136" s="1819"/>
      <c r="F136" s="1819"/>
      <c r="G136" s="2546">
        <f>'Part III-A-Uses of Funds'!G23</f>
        <v>0</v>
      </c>
      <c r="H136" s="2546"/>
      <c r="I136" s="1819"/>
      <c r="J136" s="2544"/>
      <c r="K136" s="2546"/>
      <c r="L136" s="2544"/>
      <c r="M136" s="2546">
        <f>'Part III-A-Uses of Funds'!M23</f>
        <v>0</v>
      </c>
      <c r="N136" s="2546"/>
      <c r="O136" s="1819"/>
      <c r="P136" s="2544"/>
      <c r="Q136" s="2546"/>
      <c r="R136" s="1819"/>
      <c r="S136" s="2546">
        <f>'Part III-A-Uses of Funds'!S23</f>
        <v>0</v>
      </c>
      <c r="T136" s="2546"/>
      <c r="U136" s="1819"/>
      <c r="V136" s="2664"/>
    </row>
    <row r="137" spans="1:22">
      <c r="A137" s="1819"/>
      <c r="B137" s="1819"/>
      <c r="C137" s="1819"/>
      <c r="D137" s="1819"/>
      <c r="E137" s="1819"/>
      <c r="F137" s="2668" t="s">
        <v>184</v>
      </c>
      <c r="G137" s="2546">
        <f>SUM(G133:G136)</f>
        <v>1450000</v>
      </c>
      <c r="H137" s="2546"/>
      <c r="I137" s="1819"/>
      <c r="J137" s="2544"/>
      <c r="K137" s="2546"/>
      <c r="L137" s="2544"/>
      <c r="M137" s="2546">
        <f>SUM(M135:M136)</f>
        <v>0</v>
      </c>
      <c r="N137" s="2546"/>
      <c r="O137" s="1819"/>
      <c r="P137" s="2544"/>
      <c r="Q137" s="2546"/>
      <c r="R137" s="1819"/>
      <c r="S137" s="2546">
        <f>SUM(S133:S136)</f>
        <v>1450000</v>
      </c>
      <c r="T137" s="2546"/>
      <c r="U137" s="1819"/>
      <c r="V137" s="2664">
        <f>SUM(V133:V136)</f>
        <v>0</v>
      </c>
    </row>
    <row r="138" spans="1:22">
      <c r="A138" s="1819"/>
      <c r="B138" s="2613" t="s">
        <v>1055</v>
      </c>
      <c r="C138" s="1819"/>
      <c r="D138" s="1819"/>
      <c r="E138" s="1819"/>
      <c r="F138" s="1819"/>
      <c r="G138" s="1819"/>
      <c r="H138" s="1819"/>
      <c r="I138" s="1819"/>
      <c r="J138" s="2544"/>
      <c r="K138" s="2546"/>
      <c r="L138" s="1819"/>
      <c r="M138" s="2544"/>
      <c r="N138" s="2546"/>
      <c r="O138" s="2553" t="str">
        <f>B138</f>
        <v>LAND IMPROVEMENTS</v>
      </c>
      <c r="P138" s="2544"/>
      <c r="Q138" s="2546"/>
      <c r="R138" s="1819"/>
      <c r="S138" s="2544"/>
      <c r="T138" s="2546"/>
      <c r="U138" s="1819"/>
      <c r="V138" s="2664"/>
    </row>
    <row r="139" spans="1:22">
      <c r="A139" s="1819"/>
      <c r="B139" s="1819" t="s">
        <v>1056</v>
      </c>
      <c r="C139" s="1819"/>
      <c r="D139" s="1819"/>
      <c r="E139" s="2669" t="s">
        <v>3220</v>
      </c>
      <c r="F139" s="2670">
        <f>IF('Part I-Project Identification'!$O$27="","",G139/'Part I-Project Identification'!$O$27)</f>
        <v>73465.859982713911</v>
      </c>
      <c r="G139" s="2546">
        <f>'Part III-A-Uses of Funds'!G26</f>
        <v>850000</v>
      </c>
      <c r="H139" s="2546"/>
      <c r="I139" s="1819"/>
      <c r="J139" s="2546">
        <f>'Part III-A-Uses of Funds'!J26</f>
        <v>100000</v>
      </c>
      <c r="K139" s="2546"/>
      <c r="L139" s="2544"/>
      <c r="M139" s="2546">
        <f>'Part III-A-Uses of Funds'!M26</f>
        <v>0</v>
      </c>
      <c r="N139" s="2546"/>
      <c r="O139" s="1819"/>
      <c r="P139" s="2546">
        <f>'Part III-A-Uses of Funds'!P26</f>
        <v>0</v>
      </c>
      <c r="Q139" s="2546"/>
      <c r="R139" s="1819"/>
      <c r="S139" s="2546">
        <f>'Part III-A-Uses of Funds'!S26</f>
        <v>750000</v>
      </c>
      <c r="T139" s="2546"/>
      <c r="U139" s="1819"/>
      <c r="V139" s="2664"/>
    </row>
    <row r="140" spans="1:22">
      <c r="A140" s="1819"/>
      <c r="B140" s="1819" t="s">
        <v>1057</v>
      </c>
      <c r="C140" s="1819"/>
      <c r="D140" s="1819"/>
      <c r="E140" s="1819"/>
      <c r="F140" s="1819"/>
      <c r="G140" s="2546">
        <f>'Part III-A-Uses of Funds'!G27</f>
        <v>0</v>
      </c>
      <c r="H140" s="2546"/>
      <c r="I140" s="1819"/>
      <c r="J140" s="2546">
        <f>'Part III-A-Uses of Funds'!J27</f>
        <v>0</v>
      </c>
      <c r="K140" s="2546"/>
      <c r="L140" s="2554"/>
      <c r="M140" s="2546"/>
      <c r="N140" s="2546"/>
      <c r="O140" s="1819"/>
      <c r="P140" s="2546"/>
      <c r="Q140" s="2546"/>
      <c r="R140" s="1819"/>
      <c r="S140" s="2546">
        <f>'Part III-A-Uses of Funds'!S27</f>
        <v>0</v>
      </c>
      <c r="T140" s="2546"/>
      <c r="U140" s="1819"/>
      <c r="V140" s="2664"/>
    </row>
    <row r="141" spans="1:22">
      <c r="A141" s="1819"/>
      <c r="B141" s="1819"/>
      <c r="C141" s="1819"/>
      <c r="D141" s="1819"/>
      <c r="E141" s="1819"/>
      <c r="F141" s="2668" t="s">
        <v>184</v>
      </c>
      <c r="G141" s="2546">
        <f>SUM(G139:G140)</f>
        <v>850000</v>
      </c>
      <c r="H141" s="2546"/>
      <c r="I141" s="1819"/>
      <c r="J141" s="2546">
        <f>SUM(J139:J140)</f>
        <v>100000</v>
      </c>
      <c r="K141" s="2546"/>
      <c r="L141" s="2544"/>
      <c r="M141" s="2546">
        <f>M139</f>
        <v>0</v>
      </c>
      <c r="N141" s="2546"/>
      <c r="O141" s="1819"/>
      <c r="P141" s="2546">
        <f>P139</f>
        <v>0</v>
      </c>
      <c r="Q141" s="2546"/>
      <c r="R141" s="1819"/>
      <c r="S141" s="2546">
        <f>SUM(S139:S140)</f>
        <v>750000</v>
      </c>
      <c r="T141" s="2546"/>
      <c r="U141" s="1819"/>
      <c r="V141" s="2664">
        <f>SUM(V139:V140)</f>
        <v>0</v>
      </c>
    </row>
    <row r="142" spans="1:22">
      <c r="A142" s="1819"/>
      <c r="B142" s="2613" t="s">
        <v>1058</v>
      </c>
      <c r="C142" s="1819"/>
      <c r="D142" s="1819"/>
      <c r="E142" s="1819"/>
      <c r="F142" s="1819"/>
      <c r="G142" s="1819"/>
      <c r="H142" s="1819"/>
      <c r="I142" s="1819"/>
      <c r="J142" s="2544"/>
      <c r="K142" s="2546"/>
      <c r="L142" s="1819"/>
      <c r="M142" s="2544"/>
      <c r="N142" s="2546"/>
      <c r="O142" s="2553" t="str">
        <f>B142</f>
        <v>STRUCTURES</v>
      </c>
      <c r="P142" s="2544"/>
      <c r="Q142" s="2546"/>
      <c r="R142" s="1819"/>
      <c r="S142" s="2544"/>
      <c r="T142" s="2546"/>
      <c r="U142" s="1819"/>
      <c r="V142" s="2664"/>
    </row>
    <row r="143" spans="1:22">
      <c r="A143" s="1819"/>
      <c r="B143" s="1819" t="s">
        <v>1059</v>
      </c>
      <c r="C143" s="1819"/>
      <c r="D143" s="1819"/>
      <c r="E143" s="1819"/>
      <c r="F143" s="1819"/>
      <c r="G143" s="2546">
        <f>'Part III-A-Uses of Funds'!G30</f>
        <v>14336460</v>
      </c>
      <c r="H143" s="2546"/>
      <c r="I143" s="1819"/>
      <c r="J143" s="2546">
        <f>'Part III-A-Uses of Funds'!J30</f>
        <v>14336460</v>
      </c>
      <c r="K143" s="2546"/>
      <c r="L143" s="2544"/>
      <c r="M143" s="2546">
        <f>'Part III-A-Uses of Funds'!M30</f>
        <v>0</v>
      </c>
      <c r="N143" s="2546"/>
      <c r="O143" s="1819"/>
      <c r="P143" s="2546">
        <f>'Part III-A-Uses of Funds'!P30</f>
        <v>0</v>
      </c>
      <c r="Q143" s="2546"/>
      <c r="R143" s="1819"/>
      <c r="S143" s="2546">
        <f>'Part III-A-Uses of Funds'!S30</f>
        <v>0</v>
      </c>
      <c r="T143" s="2546"/>
      <c r="U143" s="1819"/>
      <c r="V143" s="2664"/>
    </row>
    <row r="144" spans="1:22">
      <c r="A144" s="1819"/>
      <c r="B144" s="1819" t="s">
        <v>1060</v>
      </c>
      <c r="C144" s="1819"/>
      <c r="D144" s="1819"/>
      <c r="E144" s="1819"/>
      <c r="F144" s="1819"/>
      <c r="G144" s="2546">
        <f>'Part III-A-Uses of Funds'!G31</f>
        <v>0</v>
      </c>
      <c r="H144" s="2546"/>
      <c r="I144" s="1819"/>
      <c r="J144" s="2546">
        <f>'Part III-A-Uses of Funds'!J31</f>
        <v>0</v>
      </c>
      <c r="K144" s="2546"/>
      <c r="L144" s="2544"/>
      <c r="M144" s="2546">
        <f>'Part III-A-Uses of Funds'!M31</f>
        <v>0</v>
      </c>
      <c r="N144" s="2546"/>
      <c r="O144" s="1819"/>
      <c r="P144" s="2546">
        <f>'Part III-A-Uses of Funds'!P31</f>
        <v>0</v>
      </c>
      <c r="Q144" s="2546"/>
      <c r="R144" s="1819"/>
      <c r="S144" s="2546">
        <f>'Part III-A-Uses of Funds'!S31</f>
        <v>0</v>
      </c>
      <c r="T144" s="2546"/>
      <c r="U144" s="1819"/>
      <c r="V144" s="2664"/>
    </row>
    <row r="145" spans="1:22">
      <c r="A145" s="1819"/>
      <c r="B145" s="1819" t="s">
        <v>6088</v>
      </c>
      <c r="C145" s="1819"/>
      <c r="D145" s="1819"/>
      <c r="E145" s="1819"/>
      <c r="F145" s="1819"/>
      <c r="G145" s="2546">
        <f>'Part III-A-Uses of Funds'!G32</f>
        <v>0</v>
      </c>
      <c r="H145" s="2546"/>
      <c r="I145" s="1819"/>
      <c r="J145" s="2546">
        <f>'Part III-A-Uses of Funds'!J32</f>
        <v>0</v>
      </c>
      <c r="K145" s="2546"/>
      <c r="L145" s="2544"/>
      <c r="M145" s="2546">
        <f>'Part III-A-Uses of Funds'!M32</f>
        <v>0</v>
      </c>
      <c r="N145" s="2546"/>
      <c r="O145" s="1819"/>
      <c r="P145" s="2546">
        <f>'Part III-A-Uses of Funds'!P32</f>
        <v>0</v>
      </c>
      <c r="Q145" s="2546"/>
      <c r="R145" s="1819"/>
      <c r="S145" s="2546">
        <f>'Part III-A-Uses of Funds'!S32</f>
        <v>0</v>
      </c>
      <c r="T145" s="2546"/>
      <c r="U145" s="1819"/>
      <c r="V145" s="2664"/>
    </row>
    <row r="146" spans="1:22">
      <c r="A146" s="1819"/>
      <c r="B146" s="1819" t="s">
        <v>6086</v>
      </c>
      <c r="C146" s="1819"/>
      <c r="D146" s="1819"/>
      <c r="E146" s="1819"/>
      <c r="F146" s="1819"/>
      <c r="G146" s="2546">
        <f>'Part III-A-Uses of Funds'!G33</f>
        <v>0</v>
      </c>
      <c r="H146" s="2546"/>
      <c r="I146" s="1819"/>
      <c r="J146" s="2546">
        <f>'Part III-A-Uses of Funds'!J33</f>
        <v>0</v>
      </c>
      <c r="K146" s="2546"/>
      <c r="L146" s="2544"/>
      <c r="M146" s="2546">
        <f>'Part III-A-Uses of Funds'!M33</f>
        <v>0</v>
      </c>
      <c r="N146" s="2546"/>
      <c r="O146" s="1819"/>
      <c r="P146" s="2546">
        <f>'Part III-A-Uses of Funds'!P33</f>
        <v>0</v>
      </c>
      <c r="Q146" s="2546"/>
      <c r="R146" s="1819"/>
      <c r="S146" s="2546">
        <f>'Part III-A-Uses of Funds'!S33</f>
        <v>0</v>
      </c>
      <c r="T146" s="2546"/>
      <c r="U146" s="1819"/>
      <c r="V146" s="2664"/>
    </row>
    <row r="147" spans="1:22">
      <c r="A147" s="378"/>
      <c r="B147" s="1819" t="s">
        <v>2494</v>
      </c>
      <c r="C147" s="378"/>
      <c r="D147" s="378"/>
      <c r="E147" s="378"/>
      <c r="F147" s="378"/>
      <c r="G147" s="2546">
        <f>'Part III-A-Uses of Funds'!G34</f>
        <v>0</v>
      </c>
      <c r="H147" s="2546"/>
      <c r="I147" s="1819"/>
      <c r="J147" s="2546">
        <f>'Part III-A-Uses of Funds'!J34</f>
        <v>0</v>
      </c>
      <c r="K147" s="2546"/>
      <c r="L147" s="2544"/>
      <c r="M147" s="2546">
        <f>'Part III-A-Uses of Funds'!M34</f>
        <v>0</v>
      </c>
      <c r="N147" s="2546"/>
      <c r="O147" s="1819"/>
      <c r="P147" s="2546">
        <f>'Part III-A-Uses of Funds'!P34</f>
        <v>0</v>
      </c>
      <c r="Q147" s="2546"/>
      <c r="R147" s="1819"/>
      <c r="S147" s="2546">
        <f>'Part III-A-Uses of Funds'!S34</f>
        <v>0</v>
      </c>
      <c r="T147" s="2546"/>
      <c r="U147" s="378"/>
      <c r="V147" s="2664"/>
    </row>
    <row r="148" spans="1:22">
      <c r="A148" s="378"/>
      <c r="B148" s="1819" t="s">
        <v>6087</v>
      </c>
      <c r="C148" s="378"/>
      <c r="D148" s="378"/>
      <c r="E148" s="378"/>
      <c r="F148" s="378"/>
      <c r="G148" s="2546">
        <f>'Part III-A-Uses of Funds'!G35</f>
        <v>0</v>
      </c>
      <c r="H148" s="2546"/>
      <c r="I148" s="1819"/>
      <c r="J148" s="2546">
        <f>'Part III-A-Uses of Funds'!J35</f>
        <v>0</v>
      </c>
      <c r="K148" s="2546"/>
      <c r="L148" s="2544"/>
      <c r="M148" s="2546">
        <f>'Part III-A-Uses of Funds'!M35</f>
        <v>0</v>
      </c>
      <c r="N148" s="2546"/>
      <c r="O148" s="1819"/>
      <c r="P148" s="2546">
        <f>'Part III-A-Uses of Funds'!P35</f>
        <v>0</v>
      </c>
      <c r="Q148" s="2546"/>
      <c r="R148" s="1819"/>
      <c r="S148" s="2546">
        <f>'Part III-A-Uses of Funds'!S35</f>
        <v>0</v>
      </c>
      <c r="T148" s="2546"/>
      <c r="U148" s="378"/>
      <c r="V148" s="2664"/>
    </row>
    <row r="149" spans="1:22">
      <c r="A149" s="1819"/>
      <c r="B149" s="1819"/>
      <c r="C149" s="2671"/>
      <c r="D149" s="2671"/>
      <c r="E149" s="2672"/>
      <c r="F149" s="2668" t="s">
        <v>184</v>
      </c>
      <c r="G149" s="2546">
        <f>SUM(G143:G148)</f>
        <v>14336460</v>
      </c>
      <c r="H149" s="2546"/>
      <c r="I149" s="1819"/>
      <c r="J149" s="2546">
        <f>SUM(J143:J148)</f>
        <v>14336460</v>
      </c>
      <c r="K149" s="2546"/>
      <c r="L149" s="2544"/>
      <c r="M149" s="2546">
        <f>SUM(M143:M148)</f>
        <v>0</v>
      </c>
      <c r="N149" s="2546"/>
      <c r="O149" s="1819"/>
      <c r="P149" s="2546">
        <f>SUM(P143:P148)</f>
        <v>0</v>
      </c>
      <c r="Q149" s="2546"/>
      <c r="R149" s="1819"/>
      <c r="S149" s="2546">
        <f>SUM(S143:S148)</f>
        <v>0</v>
      </c>
      <c r="T149" s="2546"/>
      <c r="U149" s="1819"/>
      <c r="V149" s="2664">
        <f>SUM(V143:V148)</f>
        <v>0</v>
      </c>
    </row>
    <row r="150" spans="1:22" ht="13.5">
      <c r="A150" s="1819"/>
      <c r="B150" s="2613" t="s">
        <v>2163</v>
      </c>
      <c r="C150" s="1819"/>
      <c r="D150" s="2625" t="s">
        <v>3224</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9"/>
      <c r="M150" s="2544"/>
      <c r="N150" s="2546"/>
      <c r="O150" s="2553" t="str">
        <f>B150</f>
        <v>CONTRACTOR SERVICES</v>
      </c>
      <c r="P150" s="2544"/>
      <c r="Q150" s="2546"/>
      <c r="R150" s="1819"/>
      <c r="S150" s="2544"/>
      <c r="T150" s="2546"/>
      <c r="U150" s="1819"/>
      <c r="V150" s="2664"/>
    </row>
    <row r="151" spans="1:22" ht="13.5">
      <c r="A151" s="1819"/>
      <c r="B151" s="1819" t="s">
        <v>2164</v>
      </c>
      <c r="C151" s="1819"/>
      <c r="D151" s="2675">
        <f>'DCA Underwriting Assumptions'!$R$38</f>
        <v>0.06</v>
      </c>
      <c r="E151" s="2555">
        <f>ROUNDDOWN(D151*(G141+G149),0)</f>
        <v>911187</v>
      </c>
      <c r="F151" s="2675">
        <f>IF(($G$24+$G$32)=0,0,G151/($G$24+$G$32))</f>
        <v>0</v>
      </c>
      <c r="G151" s="2546">
        <f>'Part III-A-Uses of Funds'!G38</f>
        <v>911187</v>
      </c>
      <c r="H151" s="2546"/>
      <c r="I151" s="1819"/>
      <c r="J151" s="2546">
        <f>'Part III-A-Uses of Funds'!J38</f>
        <v>866188</v>
      </c>
      <c r="K151" s="2546"/>
      <c r="L151" s="2544"/>
      <c r="M151" s="2546">
        <f>'Part III-A-Uses of Funds'!M38</f>
        <v>0</v>
      </c>
      <c r="N151" s="2546"/>
      <c r="O151" s="1819"/>
      <c r="P151" s="2546">
        <f>'Part III-A-Uses of Funds'!P38</f>
        <v>0</v>
      </c>
      <c r="Q151" s="2546"/>
      <c r="R151" s="1819"/>
      <c r="S151" s="2546">
        <f>'Part III-A-Uses of Funds'!S38</f>
        <v>44999</v>
      </c>
      <c r="T151" s="2546"/>
      <c r="U151" s="1819"/>
      <c r="V151" s="2664"/>
    </row>
    <row r="152" spans="1:22" ht="13.5">
      <c r="A152" s="1819"/>
      <c r="B152" s="1819" t="s">
        <v>2475</v>
      </c>
      <c r="C152" s="1819"/>
      <c r="D152" s="2675">
        <f>'DCA Underwriting Assumptions'!$R$39</f>
        <v>0.02</v>
      </c>
      <c r="E152" s="2555">
        <f>ROUNDDOWN(D152*(G141+G149),0)</f>
        <v>303729</v>
      </c>
      <c r="F152" s="2675">
        <f>IF(($G$24+$G$32)=0,0,G152/($G$24+$G$32))</f>
        <v>0</v>
      </c>
      <c r="G152" s="2546">
        <f>'Part III-A-Uses of Funds'!G39</f>
        <v>303729</v>
      </c>
      <c r="H152" s="2546"/>
      <c r="I152" s="378"/>
      <c r="J152" s="2546">
        <f>'Part III-A-Uses of Funds'!J39</f>
        <v>288729</v>
      </c>
      <c r="K152" s="2546"/>
      <c r="L152" s="2544"/>
      <c r="M152" s="2546">
        <f>'Part III-A-Uses of Funds'!M39</f>
        <v>0</v>
      </c>
      <c r="N152" s="2546"/>
      <c r="O152" s="1819"/>
      <c r="P152" s="2546">
        <f>'Part III-A-Uses of Funds'!P39</f>
        <v>0</v>
      </c>
      <c r="Q152" s="2546"/>
      <c r="R152" s="1819"/>
      <c r="S152" s="2546">
        <f>'Part III-A-Uses of Funds'!S39</f>
        <v>15000</v>
      </c>
      <c r="T152" s="2546"/>
      <c r="U152" s="1819"/>
      <c r="V152" s="2664"/>
    </row>
    <row r="153" spans="1:22" ht="13.5">
      <c r="A153" s="1819"/>
      <c r="B153" s="1819" t="s">
        <v>2476</v>
      </c>
      <c r="C153" s="1819"/>
      <c r="D153" s="2675">
        <f>'DCA Underwriting Assumptions'!$R$40</f>
        <v>0.06</v>
      </c>
      <c r="E153" s="2555">
        <f>ROUNDDOWN(D153*(G141+G149),0)</f>
        <v>911187</v>
      </c>
      <c r="F153" s="2675">
        <f>IF(($G$24+$G$32)=0,0,G153/($G$24+$G$32))</f>
        <v>0</v>
      </c>
      <c r="G153" s="2546">
        <f>'Part III-A-Uses of Funds'!G40</f>
        <v>911187</v>
      </c>
      <c r="H153" s="2546"/>
      <c r="I153" s="378"/>
      <c r="J153" s="2546">
        <f>'Part III-A-Uses of Funds'!J40</f>
        <v>866188</v>
      </c>
      <c r="K153" s="2546"/>
      <c r="L153" s="2544"/>
      <c r="M153" s="2546">
        <f>'Part III-A-Uses of Funds'!M40</f>
        <v>0</v>
      </c>
      <c r="N153" s="2546"/>
      <c r="O153" s="1819"/>
      <c r="P153" s="2546">
        <f>'Part III-A-Uses of Funds'!P40</f>
        <v>0</v>
      </c>
      <c r="Q153" s="2546"/>
      <c r="R153" s="1819"/>
      <c r="S153" s="2546">
        <f>'Part III-A-Uses of Funds'!S40</f>
        <v>44999</v>
      </c>
      <c r="T153" s="2546"/>
      <c r="U153" s="1819"/>
      <c r="V153" s="2664"/>
    </row>
    <row r="154" spans="1:22" ht="13.5">
      <c r="A154" s="1819"/>
      <c r="B154" s="2621" t="s">
        <v>3225</v>
      </c>
      <c r="C154" s="1819"/>
      <c r="D154" s="2673">
        <f>SUM(D151:D153)</f>
        <v>0.14000000000000001</v>
      </c>
      <c r="E154" s="2676">
        <f>SUM(E151:E153)</f>
        <v>2126103</v>
      </c>
      <c r="F154" s="2668" t="s">
        <v>184</v>
      </c>
      <c r="G154" s="2546">
        <f>SUM(G151:G153)</f>
        <v>2126103</v>
      </c>
      <c r="H154" s="2546"/>
      <c r="I154" s="1819"/>
      <c r="J154" s="2546">
        <f>SUM(J151:J153)</f>
        <v>2021105</v>
      </c>
      <c r="K154" s="2546"/>
      <c r="L154" s="2544"/>
      <c r="M154" s="2546">
        <f>SUM(M151:M153)</f>
        <v>0</v>
      </c>
      <c r="N154" s="2546"/>
      <c r="O154" s="1819"/>
      <c r="P154" s="2546">
        <f>SUM(P151:P153)</f>
        <v>0</v>
      </c>
      <c r="Q154" s="2546"/>
      <c r="R154" s="1819"/>
      <c r="S154" s="2546">
        <f>SUM(S151:S153)</f>
        <v>104998</v>
      </c>
      <c r="T154" s="2546"/>
      <c r="U154" s="1819"/>
      <c r="V154" s="2664">
        <f>SUM(V151:V153)</f>
        <v>0</v>
      </c>
    </row>
    <row r="155" spans="1:22">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9"/>
      <c r="V155" s="2664"/>
    </row>
    <row r="156" spans="1:22">
      <c r="A156" s="2614"/>
      <c r="B156" s="1819"/>
      <c r="C156" s="2677" t="s">
        <v>6489</v>
      </c>
      <c r="D156" s="1819"/>
      <c r="E156" s="2614"/>
      <c r="F156" s="2614"/>
      <c r="G156" s="2678">
        <f>G141+G149+G154</f>
        <v>17312563</v>
      </c>
      <c r="H156" s="2678"/>
      <c r="I156" s="2614"/>
      <c r="J156" s="2614"/>
      <c r="K156" s="2614"/>
      <c r="L156" s="2614"/>
      <c r="M156" s="2614"/>
      <c r="N156" s="2614"/>
      <c r="O156" s="2614"/>
      <c r="P156" s="2614"/>
      <c r="Q156" s="2614"/>
      <c r="R156" s="2614"/>
      <c r="S156" s="2614"/>
      <c r="T156" s="2614"/>
      <c r="U156" s="1819"/>
      <c r="V156" s="2664"/>
    </row>
    <row r="157" spans="1:22">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9"/>
      <c r="V157" s="1819"/>
    </row>
    <row r="158" spans="1:22">
      <c r="A158" s="1819"/>
      <c r="B158" s="2613" t="s">
        <v>6953</v>
      </c>
      <c r="C158" s="1819"/>
      <c r="D158" s="1819"/>
      <c r="E158" s="1819"/>
      <c r="F158" s="1819"/>
      <c r="G158" s="1819"/>
      <c r="H158" s="1819"/>
      <c r="I158" s="1819"/>
      <c r="J158" s="2544"/>
      <c r="K158" s="2546"/>
      <c r="L158" s="1819"/>
      <c r="M158" s="2544"/>
      <c r="N158" s="2546"/>
      <c r="O158" s="2553" t="str">
        <f>B158</f>
        <v>OTHER CONSTRUCTION HARD COSTS (Non-GC work scope items done by Owner)</v>
      </c>
      <c r="P158" s="2544"/>
      <c r="Q158" s="2546"/>
      <c r="R158" s="1819"/>
      <c r="S158" s="2544"/>
      <c r="T158" s="2546"/>
      <c r="U158" s="1819"/>
      <c r="V158" s="2664"/>
    </row>
    <row r="159" spans="1:22" ht="12.75" customHeight="1">
      <c r="A159" s="378"/>
      <c r="B159" s="2621" t="s">
        <v>6274</v>
      </c>
      <c r="C159" s="2666" t="str">
        <f>'Part III-A-Uses of Funds'!C46</f>
        <v>Site Lighting</v>
      </c>
      <c r="D159" s="2666"/>
      <c r="E159" s="2666"/>
      <c r="F159" s="2666"/>
      <c r="G159" s="2546">
        <f>'Part III-A-Uses of Funds'!G46</f>
        <v>20000</v>
      </c>
      <c r="H159" s="2546"/>
      <c r="I159" s="1819"/>
      <c r="J159" s="2546">
        <f>'Part III-A-Uses of Funds'!J46</f>
        <v>20000</v>
      </c>
      <c r="K159" s="2546"/>
      <c r="L159" s="2544"/>
      <c r="M159" s="2546">
        <f>'Part III-A-Uses of Funds'!M46</f>
        <v>0</v>
      </c>
      <c r="N159" s="2546"/>
      <c r="O159" s="1819"/>
      <c r="P159" s="2546">
        <f>'Part III-A-Uses of Funds'!P46</f>
        <v>0</v>
      </c>
      <c r="Q159" s="2546"/>
      <c r="R159" s="1819"/>
      <c r="S159" s="2546">
        <f>'Part III-A-Uses of Funds'!S46</f>
        <v>0</v>
      </c>
      <c r="T159" s="2546"/>
      <c r="U159" s="378"/>
      <c r="V159" s="2664"/>
    </row>
    <row r="160" spans="1:22">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9"/>
      <c r="V160" s="2664"/>
    </row>
    <row r="161" spans="1:22" ht="12.75" customHeight="1">
      <c r="A161" s="1819"/>
      <c r="B161" s="2679" t="s">
        <v>6954</v>
      </c>
      <c r="C161" s="2680"/>
      <c r="D161" s="1819"/>
      <c r="E161" s="2615" t="s">
        <v>2478</v>
      </c>
      <c r="F161" s="2556">
        <f>C162/'Part V-Revenues &amp; Expenses'!$P$65</f>
        <v>192584.03333333333</v>
      </c>
      <c r="G161" s="2681" t="s">
        <v>6955</v>
      </c>
      <c r="H161" s="1819"/>
      <c r="I161" s="1819"/>
      <c r="J161" s="2557">
        <f>C162/'Part V-Revenues &amp; Expenses'!$P$67</f>
        <v>192584.03333333333</v>
      </c>
      <c r="K161" s="2557"/>
      <c r="L161" s="1819"/>
      <c r="M161" s="2682" t="s">
        <v>6475</v>
      </c>
      <c r="N161" s="2682"/>
      <c r="O161" s="1819"/>
      <c r="P161" s="2557">
        <f>C162/'Part V-Revenues &amp; Expenses'!$K$175</f>
        <v>168.04889470622456</v>
      </c>
      <c r="Q161" s="2557"/>
      <c r="R161" s="1819"/>
      <c r="S161" s="2683" t="s">
        <v>6477</v>
      </c>
      <c r="T161" s="2683"/>
      <c r="U161" s="1819"/>
      <c r="V161" s="2664"/>
    </row>
    <row r="162" spans="1:22" ht="13.5">
      <c r="A162" s="1819"/>
      <c r="B162" s="2684" t="s">
        <v>6488</v>
      </c>
      <c r="C162" s="2685">
        <f>G141+G149+G154+G159</f>
        <v>17332563</v>
      </c>
      <c r="D162" s="1819"/>
      <c r="E162" s="2615"/>
      <c r="F162" s="2556">
        <f>C162/'Part V-Revenues &amp; Expenses'!$P$166</f>
        <v>221.81421807013052</v>
      </c>
      <c r="G162" s="2683" t="s">
        <v>6956</v>
      </c>
      <c r="H162" s="1819"/>
      <c r="I162" s="1819"/>
      <c r="J162" s="2557">
        <f>C162/'Part V-Revenues &amp; Expenses'!$P$168</f>
        <v>221.81421807013052</v>
      </c>
      <c r="K162" s="2557"/>
      <c r="L162" s="1819"/>
      <c r="M162" s="2683" t="s">
        <v>6476</v>
      </c>
      <c r="N162" s="2683"/>
      <c r="O162" s="1819"/>
      <c r="P162" s="1819"/>
      <c r="Q162" s="1819"/>
      <c r="R162" s="1819"/>
      <c r="S162" s="1819"/>
      <c r="T162" s="1819"/>
      <c r="U162" s="1819"/>
      <c r="V162" s="2664"/>
    </row>
    <row r="163" spans="1:22">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9"/>
      <c r="V163" s="2664"/>
    </row>
    <row r="164" spans="1:22" ht="17.25" customHeight="1">
      <c r="A164" s="2661" t="s">
        <v>573</v>
      </c>
      <c r="B164" s="2661" t="s">
        <v>6957</v>
      </c>
      <c r="C164" s="1819"/>
      <c r="D164" s="1819"/>
      <c r="E164" s="1819"/>
      <c r="F164" s="1819"/>
      <c r="G164" s="1819"/>
      <c r="H164" s="1819"/>
      <c r="I164" s="1819"/>
      <c r="J164" s="2615" t="s">
        <v>259</v>
      </c>
      <c r="K164" s="2615"/>
      <c r="L164" s="2546"/>
      <c r="M164" s="2552" t="s">
        <v>460</v>
      </c>
      <c r="N164" s="2552"/>
      <c r="O164" s="1819"/>
      <c r="P164" s="2615" t="s">
        <v>260</v>
      </c>
      <c r="Q164" s="2615"/>
      <c r="R164" s="1819"/>
      <c r="S164" s="2615" t="s">
        <v>261</v>
      </c>
      <c r="T164" s="2615"/>
      <c r="U164" s="1819"/>
      <c r="V164" s="2664"/>
    </row>
    <row r="165" spans="1:22">
      <c r="A165" s="1819"/>
      <c r="B165" s="1819"/>
      <c r="C165" s="1819"/>
      <c r="D165" s="1819"/>
      <c r="E165" s="1819"/>
      <c r="F165" s="1819"/>
      <c r="G165" s="2613" t="s">
        <v>95</v>
      </c>
      <c r="H165" s="2613"/>
      <c r="I165" s="1819"/>
      <c r="J165" s="2615"/>
      <c r="K165" s="2615"/>
      <c r="L165" s="2546"/>
      <c r="M165" s="2552"/>
      <c r="N165" s="2552"/>
      <c r="O165" s="1819"/>
      <c r="P165" s="2615"/>
      <c r="Q165" s="2615"/>
      <c r="R165" s="1819"/>
      <c r="S165" s="2615"/>
      <c r="T165" s="2615"/>
      <c r="U165" s="1819"/>
      <c r="V165" s="2664"/>
    </row>
    <row r="166" spans="1:22">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9"/>
      <c r="V166" s="2664"/>
    </row>
    <row r="167" spans="1:22">
      <c r="A167" s="1819"/>
      <c r="B167" s="2613" t="s">
        <v>6296</v>
      </c>
      <c r="C167" s="1819"/>
      <c r="D167" s="1819"/>
      <c r="E167" s="1819"/>
      <c r="F167" s="1320" t="s">
        <v>3410</v>
      </c>
      <c r="G167" s="2613" t="str">
        <f>IF(G168&gt;E168,"Check Contingency Amount!!!!","")</f>
        <v/>
      </c>
      <c r="H167" s="1819"/>
      <c r="I167" s="1819"/>
      <c r="J167" s="2544"/>
      <c r="K167" s="2546"/>
      <c r="L167" s="1819"/>
      <c r="M167" s="2544"/>
      <c r="N167" s="2546"/>
      <c r="O167" s="2553" t="str">
        <f>B167</f>
        <v>CONSTRUCTION CONTINGENCY (CC)</v>
      </c>
      <c r="P167" s="2544"/>
      <c r="Q167" s="2546"/>
      <c r="R167" s="1819"/>
      <c r="S167" s="2544"/>
      <c r="T167" s="2546"/>
      <c r="U167" s="1819"/>
      <c r="V167" s="2664"/>
    </row>
    <row r="168" spans="1:22">
      <c r="A168" s="378"/>
      <c r="B168" s="1819" t="s">
        <v>1821</v>
      </c>
      <c r="C168" s="378"/>
      <c r="D168" s="2669" t="s">
        <v>3409</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866628.15</v>
      </c>
      <c r="F168" s="2649">
        <f>G168/C162</f>
        <v>4.9942296473983683E-2</v>
      </c>
      <c r="G168" s="2546">
        <f>'Part III-A-Uses of Funds'!G55</f>
        <v>865628</v>
      </c>
      <c r="H168" s="2546"/>
      <c r="I168" s="1819"/>
      <c r="J168" s="2546">
        <f>'Part III-A-Uses of Funds'!J55</f>
        <v>865628</v>
      </c>
      <c r="K168" s="2546"/>
      <c r="L168" s="2544"/>
      <c r="M168" s="2546">
        <f>'Part III-A-Uses of Funds'!M55</f>
        <v>0</v>
      </c>
      <c r="N168" s="2546"/>
      <c r="O168" s="1819"/>
      <c r="P168" s="2546">
        <f>'Part III-A-Uses of Funds'!P55</f>
        <v>0</v>
      </c>
      <c r="Q168" s="2546"/>
      <c r="R168" s="1819"/>
      <c r="S168" s="2546">
        <f>'Part III-A-Uses of Funds'!S55</f>
        <v>0</v>
      </c>
      <c r="T168" s="2546"/>
      <c r="U168" s="378"/>
      <c r="V168" s="2664"/>
    </row>
    <row r="169" spans="1:22">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9"/>
      <c r="V169" s="2664"/>
    </row>
    <row r="170" spans="1:22" ht="12.75" customHeight="1">
      <c r="A170" s="1819"/>
      <c r="B170" s="2687" t="s">
        <v>6297</v>
      </c>
      <c r="C170" s="2680"/>
      <c r="D170" s="1819"/>
      <c r="E170" s="2615" t="s">
        <v>6298</v>
      </c>
      <c r="F170" s="2556">
        <f>B171/'Part V-Revenues &amp; Expenses'!$P$65</f>
        <v>202202.12222222221</v>
      </c>
      <c r="G170" s="2681" t="s">
        <v>6955</v>
      </c>
      <c r="H170" s="1819"/>
      <c r="I170" s="1819"/>
      <c r="J170" s="2557">
        <f>B171/'Part V-Revenues &amp; Expenses'!$P$67</f>
        <v>202202.12222222221</v>
      </c>
      <c r="K170" s="2557"/>
      <c r="L170" s="1819"/>
      <c r="M170" s="2682" t="s">
        <v>6475</v>
      </c>
      <c r="N170" s="2682"/>
      <c r="O170" s="1819"/>
      <c r="P170" s="2557">
        <f>B171/'Part V-Revenues &amp; Expenses'!$K$175</f>
        <v>176.44164242776807</v>
      </c>
      <c r="Q170" s="2557"/>
      <c r="R170" s="1819"/>
      <c r="S170" s="2683" t="s">
        <v>6477</v>
      </c>
      <c r="T170" s="2683"/>
      <c r="U170" s="1819"/>
      <c r="V170" s="2664"/>
    </row>
    <row r="171" spans="1:22">
      <c r="A171" s="1819"/>
      <c r="B171" s="2685">
        <f>C162+G168</f>
        <v>18198191</v>
      </c>
      <c r="C171" s="2685"/>
      <c r="D171" s="1819"/>
      <c r="E171" s="2615"/>
      <c r="F171" s="2556">
        <f>B171/'Part V-Revenues &amp; Expenses'!$P$166</f>
        <v>232.89212951113387</v>
      </c>
      <c r="G171" s="2683" t="s">
        <v>6956</v>
      </c>
      <c r="H171" s="1819"/>
      <c r="I171" s="1819"/>
      <c r="J171" s="2557">
        <f>B171/'Part V-Revenues &amp; Expenses'!$P$168</f>
        <v>232.89212951113387</v>
      </c>
      <c r="K171" s="2557"/>
      <c r="L171" s="1819"/>
      <c r="M171" s="2683" t="s">
        <v>6476</v>
      </c>
      <c r="N171" s="2683"/>
      <c r="O171" s="1819"/>
      <c r="P171" s="1819"/>
      <c r="Q171" s="1819"/>
      <c r="R171" s="1819"/>
      <c r="S171" s="1819"/>
      <c r="T171" s="1819"/>
      <c r="U171" s="1819"/>
      <c r="V171" s="2664"/>
    </row>
    <row r="172" spans="1:22">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9"/>
      <c r="V172" s="2664"/>
    </row>
    <row r="173" spans="1:22">
      <c r="A173" s="1819"/>
      <c r="B173" s="2613" t="s">
        <v>675</v>
      </c>
      <c r="C173" s="1819"/>
      <c r="D173" s="1819"/>
      <c r="E173" s="1819"/>
      <c r="F173" s="1819"/>
      <c r="G173" s="1819"/>
      <c r="H173" s="1819"/>
      <c r="I173" s="1819"/>
      <c r="J173" s="2544"/>
      <c r="K173" s="2546"/>
      <c r="L173" s="1819"/>
      <c r="M173" s="2544"/>
      <c r="N173" s="2546"/>
      <c r="O173" s="2553" t="str">
        <f>B173</f>
        <v>CONSTRUCTION PERIOD FINANCING</v>
      </c>
      <c r="P173" s="2544"/>
      <c r="Q173" s="2546"/>
      <c r="R173" s="1819"/>
      <c r="S173" s="2544"/>
      <c r="T173" s="2546"/>
      <c r="U173" s="1819"/>
      <c r="V173" s="2664"/>
    </row>
    <row r="174" spans="1:22">
      <c r="A174" s="1819"/>
      <c r="B174" s="1819" t="s">
        <v>3226</v>
      </c>
      <c r="C174" s="1819"/>
      <c r="D174" s="1819"/>
      <c r="E174" s="1819"/>
      <c r="F174" s="1819"/>
      <c r="G174" s="2546">
        <f>'Part III-A-Uses of Funds'!G61</f>
        <v>0</v>
      </c>
      <c r="H174" s="2546"/>
      <c r="I174" s="1819"/>
      <c r="J174" s="2546">
        <f>'Part III-A-Uses of Funds'!J61</f>
        <v>0</v>
      </c>
      <c r="K174" s="2546"/>
      <c r="L174" s="2544"/>
      <c r="M174" s="2546">
        <f>'Part III-A-Uses of Funds'!M61</f>
        <v>0</v>
      </c>
      <c r="N174" s="2546"/>
      <c r="O174" s="1819"/>
      <c r="P174" s="2546">
        <f>'Part III-A-Uses of Funds'!P61</f>
        <v>0</v>
      </c>
      <c r="Q174" s="2546"/>
      <c r="R174" s="1819"/>
      <c r="S174" s="2546">
        <f>'Part III-A-Uses of Funds'!S61</f>
        <v>0</v>
      </c>
      <c r="T174" s="2546"/>
      <c r="U174" s="1819"/>
      <c r="V174" s="2664"/>
    </row>
    <row r="175" spans="1:22">
      <c r="A175" s="1819"/>
      <c r="B175" s="1819" t="s">
        <v>3227</v>
      </c>
      <c r="C175" s="1819"/>
      <c r="D175" s="1819"/>
      <c r="E175" s="1819"/>
      <c r="F175" s="1819"/>
      <c r="G175" s="2546">
        <f>'Part III-A-Uses of Funds'!G62</f>
        <v>0</v>
      </c>
      <c r="H175" s="2546"/>
      <c r="I175" s="1819"/>
      <c r="J175" s="2546">
        <f>'Part III-A-Uses of Funds'!J62</f>
        <v>0</v>
      </c>
      <c r="K175" s="2546"/>
      <c r="L175" s="2544"/>
      <c r="M175" s="2546">
        <f>'Part III-A-Uses of Funds'!M62</f>
        <v>0</v>
      </c>
      <c r="N175" s="2546"/>
      <c r="O175" s="1819"/>
      <c r="P175" s="2546">
        <f>'Part III-A-Uses of Funds'!P62</f>
        <v>0</v>
      </c>
      <c r="Q175" s="2546"/>
      <c r="R175" s="1819"/>
      <c r="S175" s="2546">
        <f>'Part III-A-Uses of Funds'!S62</f>
        <v>0</v>
      </c>
      <c r="T175" s="2546"/>
      <c r="U175" s="1819"/>
      <c r="V175" s="2664"/>
    </row>
    <row r="176" spans="1:22">
      <c r="A176" s="1819"/>
      <c r="B176" s="1819" t="s">
        <v>2166</v>
      </c>
      <c r="C176" s="1819"/>
      <c r="D176" s="1819"/>
      <c r="E176" s="1819"/>
      <c r="F176" s="1819"/>
      <c r="G176" s="2546">
        <f>'Part III-A-Uses of Funds'!G63</f>
        <v>143750</v>
      </c>
      <c r="H176" s="2546"/>
      <c r="I176" s="1819"/>
      <c r="J176" s="2546">
        <f>'Part III-A-Uses of Funds'!J63</f>
        <v>93438</v>
      </c>
      <c r="K176" s="2546"/>
      <c r="L176" s="2544"/>
      <c r="M176" s="2546">
        <f>'Part III-A-Uses of Funds'!M63</f>
        <v>0</v>
      </c>
      <c r="N176" s="2546"/>
      <c r="O176" s="1819"/>
      <c r="P176" s="2546">
        <f>'Part III-A-Uses of Funds'!P63</f>
        <v>0</v>
      </c>
      <c r="Q176" s="2546"/>
      <c r="R176" s="1819"/>
      <c r="S176" s="2546">
        <f>'Part III-A-Uses of Funds'!S63</f>
        <v>50312</v>
      </c>
      <c r="T176" s="2546"/>
      <c r="U176" s="1819"/>
      <c r="V176" s="2664"/>
    </row>
    <row r="177" spans="1:22">
      <c r="A177" s="1819"/>
      <c r="B177" s="1819" t="s">
        <v>2167</v>
      </c>
      <c r="C177" s="1819"/>
      <c r="D177" s="1819"/>
      <c r="E177" s="1819"/>
      <c r="F177" s="1819"/>
      <c r="G177" s="2546">
        <f>'Part III-A-Uses of Funds'!G64</f>
        <v>866342</v>
      </c>
      <c r="H177" s="2546"/>
      <c r="I177" s="1819"/>
      <c r="J177" s="2546">
        <f>'Part III-A-Uses of Funds'!J64</f>
        <v>563122</v>
      </c>
      <c r="K177" s="2546"/>
      <c r="L177" s="2544"/>
      <c r="M177" s="2546">
        <f>'Part III-A-Uses of Funds'!M64</f>
        <v>0</v>
      </c>
      <c r="N177" s="2546"/>
      <c r="O177" s="1819"/>
      <c r="P177" s="2546">
        <f>'Part III-A-Uses of Funds'!P64</f>
        <v>0</v>
      </c>
      <c r="Q177" s="2546"/>
      <c r="R177" s="1819"/>
      <c r="S177" s="2546">
        <f>'Part III-A-Uses of Funds'!S64</f>
        <v>303220</v>
      </c>
      <c r="T177" s="2546"/>
      <c r="U177" s="1819"/>
      <c r="V177" s="2664"/>
    </row>
    <row r="178" spans="1:22">
      <c r="A178" s="1819"/>
      <c r="B178" s="1819" t="s">
        <v>2168</v>
      </c>
      <c r="C178" s="1819"/>
      <c r="D178" s="1819"/>
      <c r="E178" s="1819"/>
      <c r="F178" s="1819"/>
      <c r="G178" s="2546">
        <f>'Part III-A-Uses of Funds'!G65</f>
        <v>50000</v>
      </c>
      <c r="H178" s="2546"/>
      <c r="I178" s="1819"/>
      <c r="J178" s="2546">
        <f>'Part III-A-Uses of Funds'!J65</f>
        <v>32500</v>
      </c>
      <c r="K178" s="2546"/>
      <c r="L178" s="2544"/>
      <c r="M178" s="2546">
        <f>'Part III-A-Uses of Funds'!M65</f>
        <v>0</v>
      </c>
      <c r="N178" s="2546"/>
      <c r="O178" s="1819"/>
      <c r="P178" s="2546">
        <f>'Part III-A-Uses of Funds'!P65</f>
        <v>0</v>
      </c>
      <c r="Q178" s="2546"/>
      <c r="R178" s="1819"/>
      <c r="S178" s="2546">
        <f>'Part III-A-Uses of Funds'!S65</f>
        <v>17500</v>
      </c>
      <c r="T178" s="2546"/>
      <c r="U178" s="1819"/>
      <c r="V178" s="2664"/>
    </row>
    <row r="179" spans="1:22">
      <c r="A179" s="1819"/>
      <c r="B179" s="1819" t="s">
        <v>2450</v>
      </c>
      <c r="C179" s="1819"/>
      <c r="D179" s="1819"/>
      <c r="E179" s="1819"/>
      <c r="F179" s="1819"/>
      <c r="G179" s="2546">
        <f>'Part III-A-Uses of Funds'!G66</f>
        <v>20000</v>
      </c>
      <c r="H179" s="2546"/>
      <c r="I179" s="1819"/>
      <c r="J179" s="2546">
        <f>'Part III-A-Uses of Funds'!J66</f>
        <v>13000</v>
      </c>
      <c r="K179" s="2546"/>
      <c r="L179" s="2544"/>
      <c r="M179" s="2546">
        <f>'Part III-A-Uses of Funds'!M66</f>
        <v>0</v>
      </c>
      <c r="N179" s="2546"/>
      <c r="O179" s="1819"/>
      <c r="P179" s="2546">
        <f>'Part III-A-Uses of Funds'!P66</f>
        <v>0</v>
      </c>
      <c r="Q179" s="2546"/>
      <c r="R179" s="1819"/>
      <c r="S179" s="2546">
        <f>'Part III-A-Uses of Funds'!S66</f>
        <v>7000</v>
      </c>
      <c r="T179" s="2546"/>
      <c r="U179" s="1819"/>
      <c r="V179" s="2664"/>
    </row>
    <row r="180" spans="1:22">
      <c r="A180" s="1819"/>
      <c r="B180" s="1819" t="s">
        <v>676</v>
      </c>
      <c r="C180" s="1819"/>
      <c r="D180" s="1819"/>
      <c r="E180" s="1819"/>
      <c r="F180" s="1819"/>
      <c r="G180" s="2546">
        <f>'Part III-A-Uses of Funds'!G67</f>
        <v>20000</v>
      </c>
      <c r="H180" s="2546"/>
      <c r="I180" s="1819"/>
      <c r="J180" s="2546">
        <f>'Part III-A-Uses of Funds'!J67</f>
        <v>20000</v>
      </c>
      <c r="K180" s="2546"/>
      <c r="L180" s="2544"/>
      <c r="M180" s="2546">
        <f>'Part III-A-Uses of Funds'!M67</f>
        <v>0</v>
      </c>
      <c r="N180" s="2546"/>
      <c r="O180" s="1819"/>
      <c r="P180" s="2546">
        <f>'Part III-A-Uses of Funds'!P67</f>
        <v>0</v>
      </c>
      <c r="Q180" s="2546"/>
      <c r="R180" s="1819"/>
      <c r="S180" s="2546">
        <f>'Part III-A-Uses of Funds'!S67</f>
        <v>0</v>
      </c>
      <c r="T180" s="2546"/>
      <c r="U180" s="1819"/>
      <c r="V180" s="2664"/>
    </row>
    <row r="181" spans="1:22">
      <c r="A181" s="1819"/>
      <c r="B181" s="1819" t="s">
        <v>2169</v>
      </c>
      <c r="C181" s="1819"/>
      <c r="D181" s="1819"/>
      <c r="E181" s="1819"/>
      <c r="F181" s="1819"/>
      <c r="G181" s="2546">
        <f>'Part III-A-Uses of Funds'!G68</f>
        <v>75000</v>
      </c>
      <c r="H181" s="2546"/>
      <c r="I181" s="1819"/>
      <c r="J181" s="2546">
        <f>'Part III-A-Uses of Funds'!J68</f>
        <v>75000</v>
      </c>
      <c r="K181" s="2546"/>
      <c r="L181" s="2544"/>
      <c r="M181" s="2546">
        <f>'Part III-A-Uses of Funds'!M68</f>
        <v>0</v>
      </c>
      <c r="N181" s="2546"/>
      <c r="O181" s="1819"/>
      <c r="P181" s="2546">
        <f>'Part III-A-Uses of Funds'!P68</f>
        <v>0</v>
      </c>
      <c r="Q181" s="2546"/>
      <c r="R181" s="1819"/>
      <c r="S181" s="2546">
        <f>'Part III-A-Uses of Funds'!S68</f>
        <v>0</v>
      </c>
      <c r="T181" s="2546"/>
      <c r="U181" s="1819"/>
      <c r="V181" s="2664"/>
    </row>
    <row r="182" spans="1:22">
      <c r="A182" s="1819"/>
      <c r="B182" s="1819" t="s">
        <v>1200</v>
      </c>
      <c r="C182" s="1819"/>
      <c r="D182" s="1819"/>
      <c r="E182" s="1819"/>
      <c r="F182" s="1819"/>
      <c r="G182" s="2546">
        <f>'Part III-A-Uses of Funds'!G69</f>
        <v>0</v>
      </c>
      <c r="H182" s="2546"/>
      <c r="I182" s="1819"/>
      <c r="J182" s="2546">
        <f>'Part III-A-Uses of Funds'!J69</f>
        <v>0</v>
      </c>
      <c r="K182" s="2546"/>
      <c r="L182" s="2544"/>
      <c r="M182" s="2546">
        <f>'Part III-A-Uses of Funds'!M69</f>
        <v>0</v>
      </c>
      <c r="N182" s="2546"/>
      <c r="O182" s="1819"/>
      <c r="P182" s="2546">
        <f>'Part III-A-Uses of Funds'!P69</f>
        <v>0</v>
      </c>
      <c r="Q182" s="2546"/>
      <c r="R182" s="1819"/>
      <c r="S182" s="2546">
        <f>'Part III-A-Uses of Funds'!S69</f>
        <v>0</v>
      </c>
      <c r="T182" s="2546"/>
      <c r="U182" s="1819"/>
      <c r="V182" s="2664"/>
    </row>
    <row r="183" spans="1:22">
      <c r="A183" s="1819"/>
      <c r="B183" s="2688" t="s">
        <v>1085</v>
      </c>
      <c r="C183" s="1819"/>
      <c r="D183" s="2689"/>
      <c r="E183" s="2689"/>
      <c r="F183" s="2558"/>
      <c r="G183" s="2546">
        <f>'Part III-A-Uses of Funds'!G70</f>
        <v>0</v>
      </c>
      <c r="H183" s="2546"/>
      <c r="I183" s="378"/>
      <c r="J183" s="2546">
        <f>'Part III-A-Uses of Funds'!J70</f>
        <v>0</v>
      </c>
      <c r="K183" s="2546"/>
      <c r="L183" s="2544"/>
      <c r="M183" s="2546">
        <f>'Part III-A-Uses of Funds'!M70</f>
        <v>0</v>
      </c>
      <c r="N183" s="2546"/>
      <c r="O183" s="1819"/>
      <c r="P183" s="2546">
        <f>'Part III-A-Uses of Funds'!P70</f>
        <v>0</v>
      </c>
      <c r="Q183" s="2546"/>
      <c r="R183" s="1819"/>
      <c r="S183" s="2546">
        <f>'Part III-A-Uses of Funds'!S70</f>
        <v>0</v>
      </c>
      <c r="T183" s="2546"/>
      <c r="U183" s="1819"/>
      <c r="V183" s="2664"/>
    </row>
    <row r="184" spans="1:22" ht="15.75" customHeight="1">
      <c r="A184" s="2665" t="str">
        <f>IF(AND(G184&gt;0,OR(C184="",C184="&lt;Enter detailed description here; use Comments section if needed&gt;")),"X","")</f>
        <v/>
      </c>
      <c r="B184" s="2621" t="s">
        <v>6276</v>
      </c>
      <c r="C184" s="2666" t="str">
        <f>'Part III-A-Uses of Funds'!C71</f>
        <v>&lt;&lt; Enter description here; provide detail &amp; justification in tab Part III-b &gt;&gt;</v>
      </c>
      <c r="D184" s="2666"/>
      <c r="E184" s="2666"/>
      <c r="F184" s="2666"/>
      <c r="G184" s="2546">
        <f>'Part III-A-Uses of Funds'!G71</f>
        <v>0</v>
      </c>
      <c r="H184" s="2546"/>
      <c r="I184" s="1819"/>
      <c r="J184" s="2546">
        <f>'Part III-A-Uses of Funds'!J71</f>
        <v>0</v>
      </c>
      <c r="K184" s="2546"/>
      <c r="L184" s="2544"/>
      <c r="M184" s="2546">
        <f>'Part III-A-Uses of Funds'!M71</f>
        <v>0</v>
      </c>
      <c r="N184" s="2546"/>
      <c r="O184" s="1819"/>
      <c r="P184" s="2546">
        <f>'Part III-A-Uses of Funds'!P71</f>
        <v>0</v>
      </c>
      <c r="Q184" s="2546"/>
      <c r="R184" s="1819"/>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6277</v>
      </c>
      <c r="C185" s="2666" t="str">
        <f>'Part III-A-Uses of Funds'!C72</f>
        <v>&lt;&lt; Enter description here; provide detail &amp; justification in tab Part III-b &gt;&gt;</v>
      </c>
      <c r="D185" s="2666"/>
      <c r="E185" s="2666"/>
      <c r="F185" s="2666"/>
      <c r="G185" s="2546">
        <f>'Part III-A-Uses of Funds'!G72</f>
        <v>0</v>
      </c>
      <c r="H185" s="2546"/>
      <c r="I185" s="1819"/>
      <c r="J185" s="2546">
        <f>'Part III-A-Uses of Funds'!J72</f>
        <v>0</v>
      </c>
      <c r="K185" s="2546"/>
      <c r="L185" s="2544"/>
      <c r="M185" s="2546">
        <f>'Part III-A-Uses of Funds'!M72</f>
        <v>0</v>
      </c>
      <c r="N185" s="2546"/>
      <c r="O185" s="1819"/>
      <c r="P185" s="2546">
        <f>'Part III-A-Uses of Funds'!P72</f>
        <v>0</v>
      </c>
      <c r="Q185" s="2546"/>
      <c r="R185" s="1819"/>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c r="A186" s="1819"/>
      <c r="B186" s="1819"/>
      <c r="C186" s="1819"/>
      <c r="D186" s="1819"/>
      <c r="E186" s="1819"/>
      <c r="F186" s="2668" t="s">
        <v>184</v>
      </c>
      <c r="G186" s="2546">
        <f>SUM(G174:G185)</f>
        <v>1175092</v>
      </c>
      <c r="H186" s="2546"/>
      <c r="I186" s="1819"/>
      <c r="J186" s="2546">
        <f>SUM(J174:J185)</f>
        <v>797060</v>
      </c>
      <c r="K186" s="2546"/>
      <c r="L186" s="2544"/>
      <c r="M186" s="2546">
        <f>SUM(M174:M185)</f>
        <v>0</v>
      </c>
      <c r="N186" s="2546"/>
      <c r="O186" s="1819"/>
      <c r="P186" s="2546">
        <f>SUM(P174:P185)</f>
        <v>0</v>
      </c>
      <c r="Q186" s="2546"/>
      <c r="R186" s="1819"/>
      <c r="S186" s="2546">
        <f>SUM(S174:S185)</f>
        <v>378032</v>
      </c>
      <c r="T186" s="2546"/>
      <c r="U186" s="1819"/>
      <c r="V186" s="2664">
        <f>SUM(V174:V185)</f>
        <v>0</v>
      </c>
    </row>
    <row r="187" spans="1:22">
      <c r="A187" s="1819"/>
      <c r="B187" s="2613" t="s">
        <v>449</v>
      </c>
      <c r="C187" s="1819"/>
      <c r="D187" s="1819"/>
      <c r="E187" s="1819"/>
      <c r="F187" s="1819"/>
      <c r="G187" s="2546"/>
      <c r="H187" s="2546"/>
      <c r="I187" s="1819"/>
      <c r="J187" s="2546"/>
      <c r="K187" s="2546"/>
      <c r="L187" s="1819"/>
      <c r="M187" s="2546"/>
      <c r="N187" s="2546"/>
      <c r="O187" s="2553" t="str">
        <f>B187</f>
        <v>PROFESSIONAL SERVICES</v>
      </c>
      <c r="P187" s="2546"/>
      <c r="Q187" s="2546"/>
      <c r="R187" s="1819"/>
      <c r="S187" s="2546"/>
      <c r="T187" s="2546"/>
      <c r="U187" s="1819"/>
      <c r="V187" s="2664"/>
    </row>
    <row r="188" spans="1:22">
      <c r="A188" s="1819"/>
      <c r="B188" s="1819" t="s">
        <v>450</v>
      </c>
      <c r="C188" s="1819"/>
      <c r="D188" s="1819"/>
      <c r="E188" s="1819"/>
      <c r="F188" s="1819"/>
      <c r="G188" s="2546">
        <f>'Part III-A-Uses of Funds'!G75</f>
        <v>306000</v>
      </c>
      <c r="H188" s="2546"/>
      <c r="I188" s="1819"/>
      <c r="J188" s="2546">
        <f>'Part III-A-Uses of Funds'!J75</f>
        <v>306000</v>
      </c>
      <c r="K188" s="2546"/>
      <c r="L188" s="2544"/>
      <c r="M188" s="2546">
        <f>'Part III-A-Uses of Funds'!M75</f>
        <v>0</v>
      </c>
      <c r="N188" s="2546"/>
      <c r="O188" s="1819"/>
      <c r="P188" s="2546">
        <f>'Part III-A-Uses of Funds'!P75</f>
        <v>0</v>
      </c>
      <c r="Q188" s="2546"/>
      <c r="R188" s="1819"/>
      <c r="S188" s="2546">
        <f>'Part III-A-Uses of Funds'!S75</f>
        <v>0</v>
      </c>
      <c r="T188" s="2546"/>
      <c r="U188" s="1819"/>
      <c r="V188" s="2664"/>
    </row>
    <row r="189" spans="1:22">
      <c r="A189" s="1819"/>
      <c r="B189" s="1819" t="s">
        <v>451</v>
      </c>
      <c r="C189" s="1819"/>
      <c r="D189" s="1819"/>
      <c r="E189" s="1819"/>
      <c r="F189" s="1819"/>
      <c r="G189" s="2546">
        <f>'Part III-A-Uses of Funds'!G76</f>
        <v>25000</v>
      </c>
      <c r="H189" s="2546"/>
      <c r="I189" s="1819"/>
      <c r="J189" s="2546">
        <f>'Part III-A-Uses of Funds'!J76</f>
        <v>25000</v>
      </c>
      <c r="K189" s="2546"/>
      <c r="L189" s="2544"/>
      <c r="M189" s="2546">
        <f>'Part III-A-Uses of Funds'!M76</f>
        <v>0</v>
      </c>
      <c r="N189" s="2546"/>
      <c r="O189" s="1819"/>
      <c r="P189" s="2546">
        <f>'Part III-A-Uses of Funds'!P76</f>
        <v>0</v>
      </c>
      <c r="Q189" s="2546"/>
      <c r="R189" s="1819"/>
      <c r="S189" s="2546">
        <f>'Part III-A-Uses of Funds'!S76</f>
        <v>0</v>
      </c>
      <c r="T189" s="2546"/>
      <c r="U189" s="1819"/>
      <c r="V189" s="2664"/>
    </row>
    <row r="190" spans="1:22">
      <c r="A190" s="1819"/>
      <c r="B190" s="1819" t="s">
        <v>1061</v>
      </c>
      <c r="C190" s="1819"/>
      <c r="D190" s="2624"/>
      <c r="E190" s="2690"/>
      <c r="F190" s="2613"/>
      <c r="G190" s="2546">
        <f>'Part III-A-Uses of Funds'!G77</f>
        <v>20000</v>
      </c>
      <c r="H190" s="2546"/>
      <c r="I190" s="1819"/>
      <c r="J190" s="2546">
        <f>'Part III-A-Uses of Funds'!J77</f>
        <v>20000</v>
      </c>
      <c r="K190" s="2546"/>
      <c r="L190" s="2544"/>
      <c r="M190" s="2546">
        <f>'Part III-A-Uses of Funds'!M77</f>
        <v>0</v>
      </c>
      <c r="N190" s="2546"/>
      <c r="O190" s="1819"/>
      <c r="P190" s="2546">
        <f>'Part III-A-Uses of Funds'!P77</f>
        <v>0</v>
      </c>
      <c r="Q190" s="2546"/>
      <c r="R190" s="1819"/>
      <c r="S190" s="2546">
        <f>'Part III-A-Uses of Funds'!S77</f>
        <v>0</v>
      </c>
      <c r="T190" s="2546"/>
      <c r="U190" s="1819"/>
      <c r="V190" s="2664"/>
    </row>
    <row r="191" spans="1:22">
      <c r="A191" s="1819"/>
      <c r="B191" s="1819" t="s">
        <v>1062</v>
      </c>
      <c r="C191" s="1819"/>
      <c r="D191" s="1819"/>
      <c r="E191" s="1819"/>
      <c r="F191" s="1819"/>
      <c r="G191" s="2546">
        <f>'Part III-A-Uses of Funds'!G78</f>
        <v>0</v>
      </c>
      <c r="H191" s="2546"/>
      <c r="I191" s="1819"/>
      <c r="J191" s="2546">
        <f>'Part III-A-Uses of Funds'!J78</f>
        <v>0</v>
      </c>
      <c r="K191" s="2546"/>
      <c r="L191" s="2544"/>
      <c r="M191" s="2546">
        <f>'Part III-A-Uses of Funds'!M78</f>
        <v>0</v>
      </c>
      <c r="N191" s="2546"/>
      <c r="O191" s="1819"/>
      <c r="P191" s="2546">
        <f>'Part III-A-Uses of Funds'!P78</f>
        <v>0</v>
      </c>
      <c r="Q191" s="2546"/>
      <c r="R191" s="1819"/>
      <c r="S191" s="2546">
        <f>'Part III-A-Uses of Funds'!S78</f>
        <v>0</v>
      </c>
      <c r="T191" s="2546"/>
      <c r="U191" s="1819"/>
      <c r="V191" s="2664"/>
    </row>
    <row r="192" spans="1:22">
      <c r="A192" s="1819"/>
      <c r="B192" s="1819" t="s">
        <v>1063</v>
      </c>
      <c r="C192" s="1819"/>
      <c r="D192" s="1819"/>
      <c r="E192" s="1819"/>
      <c r="F192" s="1819"/>
      <c r="G192" s="2546">
        <f>'Part III-A-Uses of Funds'!G79</f>
        <v>28000</v>
      </c>
      <c r="H192" s="2546"/>
      <c r="I192" s="1819"/>
      <c r="J192" s="2546">
        <f>'Part III-A-Uses of Funds'!J79</f>
        <v>28000</v>
      </c>
      <c r="K192" s="2546"/>
      <c r="L192" s="2544"/>
      <c r="M192" s="2546">
        <f>'Part III-A-Uses of Funds'!M79</f>
        <v>0</v>
      </c>
      <c r="N192" s="2546"/>
      <c r="O192" s="1819"/>
      <c r="P192" s="2546">
        <f>'Part III-A-Uses of Funds'!P79</f>
        <v>0</v>
      </c>
      <c r="Q192" s="2546"/>
      <c r="R192" s="1819"/>
      <c r="S192" s="2546">
        <f>'Part III-A-Uses of Funds'!S79</f>
        <v>0</v>
      </c>
      <c r="T192" s="2546"/>
      <c r="U192" s="1819"/>
      <c r="V192" s="2664"/>
    </row>
    <row r="193" spans="1:22">
      <c r="A193" s="1819"/>
      <c r="B193" s="1819" t="s">
        <v>1064</v>
      </c>
      <c r="C193" s="1819"/>
      <c r="D193" s="1819"/>
      <c r="E193" s="1819"/>
      <c r="F193" s="1819"/>
      <c r="G193" s="2546">
        <f>'Part III-A-Uses of Funds'!G80</f>
        <v>0</v>
      </c>
      <c r="H193" s="2546"/>
      <c r="I193" s="1819"/>
      <c r="J193" s="2546">
        <f>'Part III-A-Uses of Funds'!J80</f>
        <v>0</v>
      </c>
      <c r="K193" s="2546"/>
      <c r="L193" s="2544"/>
      <c r="M193" s="2546">
        <f>'Part III-A-Uses of Funds'!M80</f>
        <v>0</v>
      </c>
      <c r="N193" s="2546"/>
      <c r="O193" s="1819"/>
      <c r="P193" s="2546">
        <f>'Part III-A-Uses of Funds'!P80</f>
        <v>0</v>
      </c>
      <c r="Q193" s="2546"/>
      <c r="R193" s="1819"/>
      <c r="S193" s="2546">
        <f>'Part III-A-Uses of Funds'!S80</f>
        <v>0</v>
      </c>
      <c r="T193" s="2546"/>
      <c r="U193" s="1819"/>
      <c r="V193" s="2664"/>
    </row>
    <row r="194" spans="1:22">
      <c r="A194" s="1819"/>
      <c r="B194" s="1819" t="s">
        <v>452</v>
      </c>
      <c r="C194" s="1819"/>
      <c r="D194" s="1819"/>
      <c r="E194" s="1819"/>
      <c r="F194" s="1819"/>
      <c r="G194" s="2546">
        <f>'Part III-A-Uses of Funds'!G81</f>
        <v>195000</v>
      </c>
      <c r="H194" s="2546"/>
      <c r="I194" s="1819"/>
      <c r="J194" s="2546">
        <f>'Part III-A-Uses of Funds'!J81</f>
        <v>195000</v>
      </c>
      <c r="K194" s="2546"/>
      <c r="L194" s="2544"/>
      <c r="M194" s="2546">
        <f>'Part III-A-Uses of Funds'!M81</f>
        <v>0</v>
      </c>
      <c r="N194" s="2546"/>
      <c r="O194" s="1819"/>
      <c r="P194" s="2546">
        <f>'Part III-A-Uses of Funds'!P81</f>
        <v>0</v>
      </c>
      <c r="Q194" s="2546"/>
      <c r="R194" s="1819"/>
      <c r="S194" s="2546">
        <f>'Part III-A-Uses of Funds'!S81</f>
        <v>0</v>
      </c>
      <c r="T194" s="2546"/>
      <c r="U194" s="1819"/>
      <c r="V194" s="2664"/>
    </row>
    <row r="195" spans="1:22">
      <c r="A195" s="1819"/>
      <c r="B195" s="1819" t="s">
        <v>453</v>
      </c>
      <c r="C195" s="1819"/>
      <c r="D195" s="1819"/>
      <c r="E195" s="1819"/>
      <c r="F195" s="1819"/>
      <c r="G195" s="2546">
        <f>'Part III-A-Uses of Funds'!G82</f>
        <v>85000</v>
      </c>
      <c r="H195" s="2546"/>
      <c r="I195" s="1819"/>
      <c r="J195" s="2546">
        <f>'Part III-A-Uses of Funds'!J82</f>
        <v>42500</v>
      </c>
      <c r="K195" s="2546"/>
      <c r="L195" s="2544"/>
      <c r="M195" s="2546">
        <f>'Part III-A-Uses of Funds'!M82</f>
        <v>0</v>
      </c>
      <c r="N195" s="2546"/>
      <c r="O195" s="1819"/>
      <c r="P195" s="2546">
        <f>'Part III-A-Uses of Funds'!P82</f>
        <v>0</v>
      </c>
      <c r="Q195" s="2546"/>
      <c r="R195" s="1819"/>
      <c r="S195" s="2546">
        <f>'Part III-A-Uses of Funds'!S82</f>
        <v>42500</v>
      </c>
      <c r="T195" s="2546"/>
      <c r="U195" s="1819"/>
      <c r="V195" s="2664"/>
    </row>
    <row r="196" spans="1:22">
      <c r="A196" s="1819"/>
      <c r="B196" s="1819" t="s">
        <v>1899</v>
      </c>
      <c r="C196" s="1819"/>
      <c r="D196" s="1819"/>
      <c r="E196" s="1819"/>
      <c r="F196" s="1819"/>
      <c r="G196" s="2546">
        <f>'Part III-A-Uses of Funds'!G83</f>
        <v>40000</v>
      </c>
      <c r="H196" s="2546"/>
      <c r="I196" s="1819"/>
      <c r="J196" s="2546">
        <f>'Part III-A-Uses of Funds'!J83</f>
        <v>40000</v>
      </c>
      <c r="K196" s="2546"/>
      <c r="L196" s="2544"/>
      <c r="M196" s="2546">
        <f>'Part III-A-Uses of Funds'!M83</f>
        <v>0</v>
      </c>
      <c r="N196" s="2546"/>
      <c r="O196" s="1819"/>
      <c r="P196" s="2546">
        <f>'Part III-A-Uses of Funds'!P83</f>
        <v>0</v>
      </c>
      <c r="Q196" s="2546"/>
      <c r="R196" s="1819"/>
      <c r="S196" s="2546">
        <f>'Part III-A-Uses of Funds'!S83</f>
        <v>0</v>
      </c>
      <c r="T196" s="2546"/>
      <c r="U196" s="1819"/>
      <c r="V196" s="2664"/>
    </row>
    <row r="197" spans="1:22">
      <c r="A197" s="1819"/>
      <c r="B197" s="1819" t="s">
        <v>1201</v>
      </c>
      <c r="C197" s="1819"/>
      <c r="D197" s="1819"/>
      <c r="E197" s="1819"/>
      <c r="F197" s="1819"/>
      <c r="G197" s="2546">
        <f>'Part III-A-Uses of Funds'!G84</f>
        <v>10000</v>
      </c>
      <c r="H197" s="2546"/>
      <c r="I197" s="1819"/>
      <c r="J197" s="2546">
        <f>'Part III-A-Uses of Funds'!J84</f>
        <v>10000</v>
      </c>
      <c r="K197" s="2546"/>
      <c r="L197" s="2544"/>
      <c r="M197" s="2546">
        <f>'Part III-A-Uses of Funds'!M84</f>
        <v>0</v>
      </c>
      <c r="N197" s="2546"/>
      <c r="O197" s="1819"/>
      <c r="P197" s="2546">
        <f>'Part III-A-Uses of Funds'!P84</f>
        <v>0</v>
      </c>
      <c r="Q197" s="2546"/>
      <c r="R197" s="1819"/>
      <c r="S197" s="2546">
        <f>'Part III-A-Uses of Funds'!S84</f>
        <v>0</v>
      </c>
      <c r="T197" s="2546"/>
      <c r="U197" s="1819"/>
      <c r="V197" s="2664"/>
    </row>
    <row r="198" spans="1:22" ht="16.5" customHeight="1">
      <c r="A198" s="2665" t="str">
        <f>IF(AND(G198&gt;0,OR(C198="",C198="&lt;Enter detailed description here; use Comments section if needed&gt;")),"X","")</f>
        <v/>
      </c>
      <c r="B198" s="2621" t="s">
        <v>6278</v>
      </c>
      <c r="C198" s="2666" t="str">
        <f>'Part III-A-Uses of Funds'!C85</f>
        <v>Radon Design and Testing</v>
      </c>
      <c r="D198" s="2666"/>
      <c r="E198" s="2666"/>
      <c r="F198" s="2666"/>
      <c r="G198" s="2546">
        <f>'Part III-A-Uses of Funds'!G85</f>
        <v>6500</v>
      </c>
      <c r="H198" s="2546"/>
      <c r="I198" s="1819"/>
      <c r="J198" s="2546">
        <f>'Part III-A-Uses of Funds'!J85</f>
        <v>6500</v>
      </c>
      <c r="K198" s="2546"/>
      <c r="L198" s="2544"/>
      <c r="M198" s="2546">
        <f>'Part III-A-Uses of Funds'!M85</f>
        <v>0</v>
      </c>
      <c r="N198" s="2546"/>
      <c r="O198" s="1819"/>
      <c r="P198" s="2546">
        <f>'Part III-A-Uses of Funds'!P85</f>
        <v>0</v>
      </c>
      <c r="Q198" s="2546"/>
      <c r="R198" s="1819"/>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c r="A199" s="1819"/>
      <c r="B199" s="1819"/>
      <c r="C199" s="1819"/>
      <c r="D199" s="1819"/>
      <c r="E199" s="1819"/>
      <c r="F199" s="2668" t="s">
        <v>184</v>
      </c>
      <c r="G199" s="2546">
        <f>SUM(G188:G198)</f>
        <v>715500</v>
      </c>
      <c r="H199" s="2546"/>
      <c r="I199" s="1819"/>
      <c r="J199" s="2546">
        <f>SUM(J188:J198)</f>
        <v>673000</v>
      </c>
      <c r="K199" s="2546"/>
      <c r="L199" s="2544"/>
      <c r="M199" s="2546">
        <f>SUM(M188:M198)</f>
        <v>0</v>
      </c>
      <c r="N199" s="2546"/>
      <c r="O199" s="1819"/>
      <c r="P199" s="2546">
        <f>SUM(P188:P198)</f>
        <v>0</v>
      </c>
      <c r="Q199" s="2546"/>
      <c r="R199" s="1819"/>
      <c r="S199" s="2546">
        <f>SUM(S188:S198)</f>
        <v>42500</v>
      </c>
      <c r="T199" s="2546"/>
      <c r="U199" s="1819"/>
      <c r="V199" s="2664">
        <f>SUM(V188:V198)</f>
        <v>0</v>
      </c>
    </row>
    <row r="200" spans="1:22">
      <c r="A200" s="1819"/>
      <c r="B200" s="2613" t="s">
        <v>1193</v>
      </c>
      <c r="C200" s="1819"/>
      <c r="D200" s="2691" t="s">
        <v>3228</v>
      </c>
      <c r="E200" s="2692">
        <f>G205/'Part V-Revenues &amp; Expenses'!$P$67</f>
        <v>2434.5555555555557</v>
      </c>
      <c r="F200" s="1819"/>
      <c r="G200" s="1819"/>
      <c r="H200" s="1819"/>
      <c r="I200" s="1819"/>
      <c r="J200" s="2544"/>
      <c r="K200" s="2544"/>
      <c r="L200" s="378"/>
      <c r="M200" s="2544"/>
      <c r="N200" s="2544"/>
      <c r="O200" s="2553" t="str">
        <f>B200</f>
        <v>LOCAL GOVERNMENT FEES</v>
      </c>
      <c r="P200" s="2544"/>
      <c r="Q200" s="2544"/>
      <c r="R200" s="378"/>
      <c r="S200" s="2544"/>
      <c r="T200" s="2544"/>
      <c r="U200" s="378"/>
      <c r="V200" s="2664"/>
    </row>
    <row r="201" spans="1:22">
      <c r="A201" s="1819"/>
      <c r="B201" s="1819" t="s">
        <v>1194</v>
      </c>
      <c r="C201" s="1819"/>
      <c r="D201" s="1819"/>
      <c r="E201" s="1819"/>
      <c r="F201" s="1819"/>
      <c r="G201" s="2546">
        <f>'Part III-A-Uses of Funds'!G88</f>
        <v>91355</v>
      </c>
      <c r="H201" s="2546"/>
      <c r="I201" s="1819"/>
      <c r="J201" s="2546">
        <f>'Part III-A-Uses of Funds'!J88</f>
        <v>91335</v>
      </c>
      <c r="K201" s="2546"/>
      <c r="L201" s="2544"/>
      <c r="M201" s="2546">
        <f>'Part III-A-Uses of Funds'!M88</f>
        <v>0</v>
      </c>
      <c r="N201" s="2546"/>
      <c r="O201" s="1819"/>
      <c r="P201" s="2546">
        <f>'Part III-A-Uses of Funds'!P88</f>
        <v>0</v>
      </c>
      <c r="Q201" s="2546"/>
      <c r="R201" s="1819"/>
      <c r="S201" s="2546">
        <f>'Part III-A-Uses of Funds'!S88</f>
        <v>0</v>
      </c>
      <c r="T201" s="2546"/>
      <c r="U201" s="1819"/>
      <c r="V201" s="2664"/>
    </row>
    <row r="202" spans="1:22">
      <c r="A202" s="1819"/>
      <c r="B202" s="1819" t="s">
        <v>1195</v>
      </c>
      <c r="C202" s="1819"/>
      <c r="D202" s="1819"/>
      <c r="E202" s="1819"/>
      <c r="F202" s="1819"/>
      <c r="G202" s="2546">
        <f>'Part III-A-Uses of Funds'!G89</f>
        <v>127755</v>
      </c>
      <c r="H202" s="2546"/>
      <c r="I202" s="1819"/>
      <c r="J202" s="2546">
        <f>'Part III-A-Uses of Funds'!J89</f>
        <v>127775</v>
      </c>
      <c r="K202" s="2546"/>
      <c r="L202" s="2544"/>
      <c r="M202" s="2546">
        <f>'Part III-A-Uses of Funds'!M89</f>
        <v>0</v>
      </c>
      <c r="N202" s="2546"/>
      <c r="O202" s="1819"/>
      <c r="P202" s="2546">
        <f>'Part III-A-Uses of Funds'!P89</f>
        <v>0</v>
      </c>
      <c r="Q202" s="2546"/>
      <c r="R202" s="1819"/>
      <c r="S202" s="2546">
        <f>'Part III-A-Uses of Funds'!S89</f>
        <v>0</v>
      </c>
      <c r="T202" s="2546"/>
      <c r="U202" s="1819"/>
      <c r="V202" s="2664"/>
    </row>
    <row r="203" spans="1:22">
      <c r="A203" s="1819"/>
      <c r="B203" s="1819" t="s">
        <v>1196</v>
      </c>
      <c r="C203" s="1819"/>
      <c r="D203" s="2693" t="s">
        <v>1324</v>
      </c>
      <c r="E203" s="2694" t="str">
        <f>'Part III-A-Uses of Funds'!E90</f>
        <v>No</v>
      </c>
      <c r="F203" s="1819"/>
      <c r="G203" s="2546" t="str">
        <f>'Part III-A-Uses of Funds'!G90</f>
        <v>included above</v>
      </c>
      <c r="H203" s="2546"/>
      <c r="I203" s="378"/>
      <c r="J203" s="2546">
        <f>'Part III-A-Uses of Funds'!J90</f>
        <v>0</v>
      </c>
      <c r="K203" s="2546"/>
      <c r="L203" s="2544"/>
      <c r="M203" s="2546">
        <f>'Part III-A-Uses of Funds'!M90</f>
        <v>0</v>
      </c>
      <c r="N203" s="2546"/>
      <c r="O203" s="1819"/>
      <c r="P203" s="2546">
        <f>'Part III-A-Uses of Funds'!P90</f>
        <v>0</v>
      </c>
      <c r="Q203" s="2546"/>
      <c r="R203" s="1819"/>
      <c r="S203" s="2546">
        <f>'Part III-A-Uses of Funds'!S90</f>
        <v>0</v>
      </c>
      <c r="T203" s="2546"/>
      <c r="U203" s="1819"/>
      <c r="V203" s="2664"/>
    </row>
    <row r="204" spans="1:22">
      <c r="A204" s="1819"/>
      <c r="B204" s="1819" t="s">
        <v>1197</v>
      </c>
      <c r="C204" s="1819"/>
      <c r="D204" s="2693" t="s">
        <v>1324</v>
      </c>
      <c r="E204" s="2694" t="str">
        <f>'Part III-A-Uses of Funds'!E91</f>
        <v>No</v>
      </c>
      <c r="F204" s="1819"/>
      <c r="G204" s="2546" t="str">
        <f>'Part III-A-Uses of Funds'!G91</f>
        <v>included above</v>
      </c>
      <c r="H204" s="2546"/>
      <c r="I204" s="378"/>
      <c r="J204" s="2546">
        <f>'Part III-A-Uses of Funds'!J91</f>
        <v>0</v>
      </c>
      <c r="K204" s="2546"/>
      <c r="L204" s="2544"/>
      <c r="M204" s="2546">
        <f>'Part III-A-Uses of Funds'!M91</f>
        <v>0</v>
      </c>
      <c r="N204" s="2546"/>
      <c r="O204" s="1819"/>
      <c r="P204" s="2546">
        <f>'Part III-A-Uses of Funds'!P91</f>
        <v>0</v>
      </c>
      <c r="Q204" s="2546"/>
      <c r="R204" s="1819"/>
      <c r="S204" s="2546">
        <f>'Part III-A-Uses of Funds'!S91</f>
        <v>0</v>
      </c>
      <c r="T204" s="2546"/>
      <c r="U204" s="1819"/>
      <c r="V204" s="2664"/>
    </row>
    <row r="205" spans="1:22">
      <c r="A205" s="1819"/>
      <c r="B205" s="1819"/>
      <c r="C205" s="1819"/>
      <c r="D205" s="1819"/>
      <c r="E205" s="1819"/>
      <c r="F205" s="2668" t="s">
        <v>184</v>
      </c>
      <c r="G205" s="2546">
        <f>SUM(G201:G204)</f>
        <v>219110</v>
      </c>
      <c r="H205" s="2546"/>
      <c r="I205" s="1819"/>
      <c r="J205" s="2546">
        <f>SUM(J201:J204)</f>
        <v>219110</v>
      </c>
      <c r="K205" s="2546"/>
      <c r="L205" s="2544"/>
      <c r="M205" s="2546">
        <f>SUM(M201:M204)</f>
        <v>0</v>
      </c>
      <c r="N205" s="2546"/>
      <c r="O205" s="1819"/>
      <c r="P205" s="2546">
        <f>SUM(P201:P204)</f>
        <v>0</v>
      </c>
      <c r="Q205" s="2546"/>
      <c r="R205" s="1819"/>
      <c r="S205" s="2546">
        <f>SUM(S201:S204)</f>
        <v>0</v>
      </c>
      <c r="T205" s="2546"/>
      <c r="U205" s="1819"/>
      <c r="V205" s="2664">
        <f>SUM(V201:V204)</f>
        <v>0</v>
      </c>
    </row>
    <row r="206" spans="1:22">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9"/>
      <c r="V206" s="2664"/>
    </row>
    <row r="207" spans="1:22" ht="17.25" customHeight="1">
      <c r="A207" s="2661" t="s">
        <v>573</v>
      </c>
      <c r="B207" s="2661" t="s">
        <v>6958</v>
      </c>
      <c r="C207" s="1819"/>
      <c r="D207" s="1819"/>
      <c r="E207" s="1819"/>
      <c r="F207" s="1819"/>
      <c r="G207" s="1819"/>
      <c r="H207" s="1819"/>
      <c r="I207" s="1819"/>
      <c r="J207" s="2615" t="s">
        <v>259</v>
      </c>
      <c r="K207" s="2615"/>
      <c r="L207" s="2546"/>
      <c r="M207" s="2552" t="s">
        <v>460</v>
      </c>
      <c r="N207" s="2552"/>
      <c r="O207" s="1819"/>
      <c r="P207" s="2615" t="s">
        <v>260</v>
      </c>
      <c r="Q207" s="2615"/>
      <c r="R207" s="1819"/>
      <c r="S207" s="2615" t="s">
        <v>261</v>
      </c>
      <c r="T207" s="2615"/>
      <c r="U207" s="1819"/>
      <c r="V207" s="2663" t="str">
        <f>B207</f>
        <v>DEVELOPMENT BUDGET  (cont'd)</v>
      </c>
    </row>
    <row r="208" spans="1:22">
      <c r="A208" s="1819"/>
      <c r="B208" s="1819"/>
      <c r="C208" s="1819"/>
      <c r="D208" s="1819"/>
      <c r="E208" s="1819"/>
      <c r="F208" s="1819"/>
      <c r="G208" s="2613" t="s">
        <v>95</v>
      </c>
      <c r="H208" s="2613"/>
      <c r="I208" s="1819"/>
      <c r="J208" s="2615"/>
      <c r="K208" s="2615"/>
      <c r="L208" s="2546"/>
      <c r="M208" s="2552"/>
      <c r="N208" s="2552"/>
      <c r="O208" s="1819"/>
      <c r="P208" s="2615"/>
      <c r="Q208" s="2615"/>
      <c r="R208" s="1819"/>
      <c r="S208" s="2615"/>
      <c r="T208" s="2615"/>
      <c r="U208" s="1819"/>
      <c r="V208" s="377" t="s">
        <v>2448</v>
      </c>
    </row>
    <row r="209" spans="1:33">
      <c r="A209" s="1819"/>
      <c r="B209" s="2613" t="s">
        <v>677</v>
      </c>
      <c r="C209" s="1819"/>
      <c r="D209" s="1819"/>
      <c r="E209" s="1819"/>
      <c r="F209" s="1819"/>
      <c r="G209" s="1819"/>
      <c r="H209" s="1819"/>
      <c r="I209" s="1819"/>
      <c r="J209" s="2544"/>
      <c r="K209" s="2544"/>
      <c r="L209" s="1819"/>
      <c r="M209" s="2544"/>
      <c r="N209" s="2544"/>
      <c r="O209" s="2553" t="str">
        <f>B209</f>
        <v>PERMANENT FINANCING FEES</v>
      </c>
      <c r="P209" s="2544"/>
      <c r="Q209" s="2544"/>
      <c r="R209" s="1819"/>
      <c r="S209" s="2544"/>
      <c r="T209" s="2544"/>
      <c r="U209" s="1819"/>
      <c r="V209" s="2664"/>
    </row>
    <row r="210" spans="1:33">
      <c r="A210" s="1819"/>
      <c r="B210" s="1819" t="s">
        <v>1198</v>
      </c>
      <c r="C210" s="1819"/>
      <c r="D210" s="1819"/>
      <c r="E210" s="1819"/>
      <c r="F210" s="1819"/>
      <c r="G210" s="2546">
        <f>'Part III-A-Uses of Funds'!G97</f>
        <v>72738</v>
      </c>
      <c r="H210" s="2546"/>
      <c r="I210" s="1819"/>
      <c r="J210" s="2546"/>
      <c r="K210" s="2546"/>
      <c r="L210" s="2544"/>
      <c r="M210" s="2546"/>
      <c r="N210" s="2546"/>
      <c r="O210" s="1819"/>
      <c r="P210" s="2546"/>
      <c r="Q210" s="2546"/>
      <c r="R210" s="1819"/>
      <c r="S210" s="2546">
        <f>'Part III-A-Uses of Funds'!S97</f>
        <v>72738</v>
      </c>
      <c r="T210" s="2546"/>
      <c r="U210" s="1819"/>
      <c r="V210" s="2664"/>
    </row>
    <row r="211" spans="1:33">
      <c r="A211" s="1819"/>
      <c r="B211" s="1819" t="s">
        <v>1199</v>
      </c>
      <c r="C211" s="1819"/>
      <c r="D211" s="1819"/>
      <c r="E211" s="1819"/>
      <c r="F211" s="1819"/>
      <c r="G211" s="2546">
        <f>'Part III-A-Uses of Funds'!G98</f>
        <v>50000</v>
      </c>
      <c r="H211" s="2546"/>
      <c r="I211" s="1819"/>
      <c r="J211" s="2546"/>
      <c r="K211" s="2546"/>
      <c r="L211" s="2544"/>
      <c r="M211" s="2546"/>
      <c r="N211" s="2546"/>
      <c r="O211" s="1819"/>
      <c r="P211" s="2546"/>
      <c r="Q211" s="2546"/>
      <c r="R211" s="1819"/>
      <c r="S211" s="2546">
        <f>'Part III-A-Uses of Funds'!S98</f>
        <v>50000</v>
      </c>
      <c r="T211" s="2546"/>
      <c r="U211" s="1819"/>
      <c r="V211" s="2664"/>
    </row>
    <row r="212" spans="1:33">
      <c r="A212" s="1819"/>
      <c r="B212" s="1819" t="s">
        <v>1200</v>
      </c>
      <c r="C212" s="1819"/>
      <c r="D212" s="1819"/>
      <c r="E212" s="1819"/>
      <c r="F212" s="1819"/>
      <c r="G212" s="2546">
        <f>'Part III-A-Uses of Funds'!G99</f>
        <v>75000</v>
      </c>
      <c r="H212" s="2546"/>
      <c r="I212" s="1819"/>
      <c r="J212" s="2546"/>
      <c r="K212" s="2546"/>
      <c r="L212" s="2544"/>
      <c r="M212" s="2546"/>
      <c r="N212" s="2546"/>
      <c r="O212" s="1819"/>
      <c r="P212" s="2546"/>
      <c r="Q212" s="2546"/>
      <c r="R212" s="1819"/>
      <c r="S212" s="2546">
        <f>'Part III-A-Uses of Funds'!S99</f>
        <v>75000</v>
      </c>
      <c r="T212" s="2546"/>
      <c r="U212" s="1819"/>
      <c r="V212" s="2664"/>
    </row>
    <row r="213" spans="1:33">
      <c r="A213" s="1819"/>
      <c r="B213" s="1819" t="s">
        <v>1202</v>
      </c>
      <c r="C213" s="1819"/>
      <c r="D213" s="1819"/>
      <c r="E213" s="1819"/>
      <c r="F213" s="1819"/>
      <c r="G213" s="2546">
        <f>'Part III-A-Uses of Funds'!G100</f>
        <v>0</v>
      </c>
      <c r="H213" s="2546"/>
      <c r="I213" s="1819"/>
      <c r="J213" s="2546"/>
      <c r="K213" s="2546"/>
      <c r="L213" s="2544"/>
      <c r="M213" s="2546"/>
      <c r="N213" s="2546"/>
      <c r="O213" s="1819"/>
      <c r="P213" s="2546"/>
      <c r="Q213" s="2546"/>
      <c r="R213" s="1819"/>
      <c r="S213" s="2546">
        <f>'Part III-A-Uses of Funds'!S100</f>
        <v>0</v>
      </c>
      <c r="T213" s="2546"/>
      <c r="U213" s="1819"/>
      <c r="V213" s="2664"/>
    </row>
    <row r="214" spans="1:33">
      <c r="A214" s="1819"/>
      <c r="B214" s="1819" t="s">
        <v>2121</v>
      </c>
      <c r="C214" s="1819"/>
      <c r="D214" s="1819"/>
      <c r="E214" s="1819"/>
      <c r="F214" s="1819"/>
      <c r="G214" s="2546">
        <f>'Part III-A-Uses of Funds'!G101</f>
        <v>0</v>
      </c>
      <c r="H214" s="2546"/>
      <c r="I214" s="1819"/>
      <c r="J214" s="2546"/>
      <c r="K214" s="2546"/>
      <c r="L214" s="2544"/>
      <c r="M214" s="2546"/>
      <c r="N214" s="2546"/>
      <c r="O214" s="1819"/>
      <c r="P214" s="2546"/>
      <c r="Q214" s="2546"/>
      <c r="R214" s="1819"/>
      <c r="S214" s="2546">
        <f>'Part III-A-Uses of Funds'!S101</f>
        <v>0</v>
      </c>
      <c r="T214" s="2546"/>
      <c r="U214" s="1819"/>
      <c r="V214" s="2664"/>
    </row>
    <row r="215" spans="1:33" ht="16.5" customHeight="1">
      <c r="A215" s="2665" t="str">
        <f>IF(AND(G215&gt;0,OR(C215="",C215="&lt;Enter detailed description here; use Comments section if needed&gt;")),"X","")</f>
        <v/>
      </c>
      <c r="B215" s="2621" t="s">
        <v>6279</v>
      </c>
      <c r="C215" s="2666" t="str">
        <f>'Part III-A-Uses of Funds'!C102</f>
        <v>&lt;&lt; Enter description here; provide detail &amp; justification in tab Part III-b &gt;&gt;</v>
      </c>
      <c r="D215" s="2666"/>
      <c r="E215" s="2666"/>
      <c r="F215" s="2666"/>
      <c r="G215" s="2546">
        <f>'Part III-A-Uses of Funds'!G102</f>
        <v>0</v>
      </c>
      <c r="H215" s="2546"/>
      <c r="I215" s="1819"/>
      <c r="J215" s="2546"/>
      <c r="K215" s="2546"/>
      <c r="L215" s="2544"/>
      <c r="M215" s="2546"/>
      <c r="N215" s="2546"/>
      <c r="O215" s="1819"/>
      <c r="P215" s="2546"/>
      <c r="Q215" s="2546"/>
      <c r="R215" s="1819"/>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c r="A216" s="1819"/>
      <c r="B216" s="1819"/>
      <c r="C216" s="1819"/>
      <c r="D216" s="1819"/>
      <c r="E216" s="1819"/>
      <c r="F216" s="2668" t="s">
        <v>184</v>
      </c>
      <c r="G216" s="2546">
        <f>SUM(G210:G215)</f>
        <v>197738</v>
      </c>
      <c r="H216" s="2546"/>
      <c r="I216" s="1819"/>
      <c r="J216" s="2546"/>
      <c r="K216" s="2546"/>
      <c r="L216" s="2544"/>
      <c r="M216" s="2546"/>
      <c r="N216" s="2546"/>
      <c r="O216" s="1819"/>
      <c r="P216" s="2546"/>
      <c r="Q216" s="2546"/>
      <c r="R216" s="1819"/>
      <c r="S216" s="2546">
        <f>SUM(S210:S215)</f>
        <v>197738</v>
      </c>
      <c r="T216" s="2546"/>
      <c r="U216" s="1819"/>
      <c r="V216" s="2664">
        <f>SUM(V210:V215)</f>
        <v>0</v>
      </c>
    </row>
    <row r="217" spans="1:33">
      <c r="A217" s="1819"/>
      <c r="B217" s="2613" t="s">
        <v>678</v>
      </c>
      <c r="C217" s="1819"/>
      <c r="D217" s="1819"/>
      <c r="E217" s="1819"/>
      <c r="F217" s="1819"/>
      <c r="G217" s="1819"/>
      <c r="H217" s="1819"/>
      <c r="I217" s="1819"/>
      <c r="J217" s="2544"/>
      <c r="K217" s="2544"/>
      <c r="L217" s="1819"/>
      <c r="M217" s="2544"/>
      <c r="N217" s="2544"/>
      <c r="O217" s="2553" t="str">
        <f>B217</f>
        <v>DCA-RELATED COSTS</v>
      </c>
      <c r="P217" s="2544"/>
      <c r="Q217" s="2544"/>
      <c r="R217" s="1819"/>
      <c r="S217" s="2544"/>
      <c r="T217" s="2544"/>
      <c r="U217" s="1819"/>
      <c r="V217" s="2664"/>
      <c r="W217" s="1819"/>
      <c r="X217" s="1819"/>
      <c r="Y217" s="2621" t="s">
        <v>3925</v>
      </c>
      <c r="Z217" s="2621"/>
      <c r="AA217" s="2621"/>
      <c r="AB217" s="2695"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6">
        <f>'Part III-A-Uses of Funds'!G105</f>
        <v>0</v>
      </c>
      <c r="H218" s="2546"/>
      <c r="I218" s="1819"/>
      <c r="J218" s="2544"/>
      <c r="K218" s="2544"/>
      <c r="L218" s="2544"/>
      <c r="M218" s="2544"/>
      <c r="N218" s="2544"/>
      <c r="O218" s="1819"/>
      <c r="P218" s="2544"/>
      <c r="Q218" s="2544"/>
      <c r="R218" s="1819"/>
      <c r="S218" s="2546">
        <f>'Part III-A-Uses of Funds'!S105</f>
        <v>0</v>
      </c>
      <c r="T218" s="2546"/>
      <c r="U218" s="1819"/>
      <c r="V218" s="2664"/>
      <c r="W218" s="2644" t="s">
        <v>6703</v>
      </c>
      <c r="X218" s="1819"/>
      <c r="Y218" s="403" t="s">
        <v>6645</v>
      </c>
      <c r="Z218" s="2621"/>
      <c r="AA218" s="2621"/>
      <c r="AB218" s="2696" t="str">
        <f>'Part V-Revenues &amp; Expenses'!$O$53</f>
        <v>40% of Units at 60% of AMI</v>
      </c>
      <c r="AC218" s="2697"/>
      <c r="AD218" s="2697"/>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6">
        <f>'Part III-A-Uses of Funds'!G106</f>
        <v>10000</v>
      </c>
      <c r="H219" s="2546"/>
      <c r="I219" s="1819"/>
      <c r="J219" s="2544"/>
      <c r="K219" s="2544"/>
      <c r="L219" s="2559"/>
      <c r="M219" s="2544"/>
      <c r="N219" s="2544"/>
      <c r="O219" s="1819"/>
      <c r="P219" s="2544"/>
      <c r="Q219" s="2544"/>
      <c r="R219" s="1819"/>
      <c r="S219" s="2546">
        <f>'Part III-A-Uses of Funds'!S106</f>
        <v>10000</v>
      </c>
      <c r="T219" s="2546"/>
      <c r="U219" s="1819"/>
      <c r="V219" s="2664"/>
      <c r="W219" s="2644"/>
      <c r="X219" s="1819"/>
      <c r="Y219" s="2683" t="s">
        <v>3151</v>
      </c>
      <c r="Z219" s="2683"/>
      <c r="AA219" s="2683"/>
      <c r="AB219" s="2698">
        <f>'Part V-Revenues &amp; Expenses'!$P$67</f>
        <v>90</v>
      </c>
      <c r="AC219" s="1819"/>
      <c r="AD219" s="1819"/>
      <c r="AE219" s="1819"/>
      <c r="AF219" s="1819"/>
      <c r="AG219" s="1819"/>
    </row>
    <row r="220" spans="1:33">
      <c r="A220" s="1819"/>
      <c r="B220" s="1819" t="s">
        <v>3318</v>
      </c>
      <c r="C220" s="1819"/>
      <c r="D220" s="1819"/>
      <c r="E220" s="1819"/>
      <c r="F220" s="1819"/>
      <c r="G220" s="2546">
        <f>'Part III-A-Uses of Funds'!G107</f>
        <v>2500</v>
      </c>
      <c r="H220" s="2546"/>
      <c r="I220" s="1819"/>
      <c r="J220" s="2544"/>
      <c r="K220" s="2544"/>
      <c r="L220" s="2559"/>
      <c r="M220" s="2544"/>
      <c r="N220" s="2544"/>
      <c r="O220" s="1819"/>
      <c r="P220" s="2544"/>
      <c r="Q220" s="2544"/>
      <c r="R220" s="1819"/>
      <c r="S220" s="2546">
        <f>'Part III-A-Uses of Funds'!S107</f>
        <v>2500</v>
      </c>
      <c r="T220" s="2546"/>
      <c r="U220" s="1819"/>
      <c r="V220" s="2664"/>
      <c r="W220" s="2644"/>
      <c r="X220" s="2644"/>
      <c r="Y220" s="2699" t="s">
        <v>6708</v>
      </c>
      <c r="Z220" s="2621"/>
      <c r="AA220" s="2621"/>
      <c r="AB220" s="2621"/>
      <c r="AC220" s="1819"/>
      <c r="AD220" s="2700" t="s">
        <v>6709</v>
      </c>
      <c r="AE220" s="1819"/>
      <c r="AF220" s="1819"/>
      <c r="AG220" s="1819"/>
    </row>
    <row r="221" spans="1:33">
      <c r="A221" s="1819"/>
      <c r="B221" s="1819" t="s">
        <v>486</v>
      </c>
      <c r="C221" s="1819"/>
      <c r="D221" s="1819"/>
      <c r="E221" s="2560">
        <f>'Part III-A-Uses of Funds'!E108</f>
        <v>98000</v>
      </c>
      <c r="F221" s="2560"/>
      <c r="G221" s="2546">
        <f>'Part III-A-Uses of Funds'!G108</f>
        <v>98000</v>
      </c>
      <c r="H221" s="2546"/>
      <c r="I221" s="1819"/>
      <c r="J221" s="2561" t="str">
        <f>IF(E221&gt;G221,"WARNING!  LIHTC Allocation Fee proposed is below minimum required.","")</f>
        <v/>
      </c>
      <c r="K221" s="2544"/>
      <c r="L221" s="2544"/>
      <c r="M221" s="2544"/>
      <c r="N221" s="2544"/>
      <c r="O221" s="1819"/>
      <c r="P221" s="2544"/>
      <c r="Q221" s="2544"/>
      <c r="R221" s="1819"/>
      <c r="S221" s="2546">
        <f>'Part III-A-Uses of Funds'!S108</f>
        <v>98000</v>
      </c>
      <c r="T221" s="2546"/>
      <c r="U221" s="1819"/>
      <c r="V221" s="2664"/>
      <c r="W221" s="2644"/>
      <c r="X221" s="2644"/>
      <c r="Y221" s="2621" t="s">
        <v>6704</v>
      </c>
      <c r="Z221" s="2621"/>
      <c r="AA221" s="2621"/>
      <c r="AB221" s="2701">
        <f>'Part V-Revenues &amp; Expenses'!N253+'Part V-Revenues &amp; Expenses'!N254</f>
        <v>0</v>
      </c>
      <c r="AC221" s="1819"/>
      <c r="AD221" s="2702">
        <f>AB221*'DCA Underwriting Assumptions'!$Q$63</f>
        <v>0</v>
      </c>
      <c r="AE221" s="1819"/>
      <c r="AF221" s="1819"/>
      <c r="AG221" s="1819"/>
    </row>
    <row r="222" spans="1:33">
      <c r="A222" s="1819"/>
      <c r="B222" s="1819" t="s">
        <v>702</v>
      </c>
      <c r="C222" s="1819"/>
      <c r="D222" s="1819"/>
      <c r="E222" s="2560">
        <f>'Part III-A-Uses of Funds'!E109</f>
        <v>72000</v>
      </c>
      <c r="F222" s="2560"/>
      <c r="G222" s="2546">
        <f>'Part III-A-Uses of Funds'!G109</f>
        <v>72000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72000</v>
      </c>
      <c r="T222" s="2546"/>
      <c r="U222" s="1819"/>
      <c r="V222" s="2664"/>
      <c r="W222" s="2644"/>
      <c r="X222" s="2644"/>
      <c r="Y222" s="2621" t="s">
        <v>6287</v>
      </c>
      <c r="Z222" s="2621"/>
      <c r="AA222" s="2621"/>
      <c r="AB222" s="2701">
        <f>'Part V-Revenues &amp; Expenses'!$P$140+'Part V-Revenues &amp; Expenses'!$P$141</f>
        <v>0</v>
      </c>
      <c r="AC222" s="1819"/>
      <c r="AD222" s="2702">
        <f>AB222*'DCA Underwriting Assumptions'!$Q$63</f>
        <v>0</v>
      </c>
      <c r="AE222" s="1819"/>
      <c r="AF222" s="1819"/>
      <c r="AG222" s="1819"/>
    </row>
    <row r="223" spans="1:33">
      <c r="A223" s="1819"/>
      <c r="B223" s="1819" t="s">
        <v>3449</v>
      </c>
      <c r="C223" s="1819"/>
      <c r="D223" s="1819"/>
      <c r="E223" s="1819"/>
      <c r="F223" s="2703"/>
      <c r="G223" s="2546">
        <f>'Part III-A-Uses of Funds'!G110</f>
        <v>3000</v>
      </c>
      <c r="H223" s="2546"/>
      <c r="I223" s="2562"/>
      <c r="J223" s="2562"/>
      <c r="K223" s="2562"/>
      <c r="L223" s="2562"/>
      <c r="M223" s="2562"/>
      <c r="N223" s="2562"/>
      <c r="O223" s="2562"/>
      <c r="P223" s="2562"/>
      <c r="Q223" s="2562"/>
      <c r="R223" s="2562"/>
      <c r="S223" s="2546">
        <f>'Part III-A-Uses of Funds'!S110</f>
        <v>3000</v>
      </c>
      <c r="T223" s="2546"/>
      <c r="U223" s="1819"/>
      <c r="V223" s="2664"/>
      <c r="W223" s="2644"/>
      <c r="X223" s="1819"/>
      <c r="Y223" s="2621" t="s">
        <v>6705</v>
      </c>
      <c r="Z223" s="2621"/>
      <c r="AA223" s="2621"/>
      <c r="AB223" s="2701">
        <f>'Part V-Revenues &amp; Expenses'!$P$142+'Part V-Revenues &amp; Expenses'!$P$143</f>
        <v>0</v>
      </c>
      <c r="AC223" s="1819"/>
      <c r="AD223" s="2702">
        <f>AB223*'DCA Underwriting Assumptions'!$Q$63</f>
        <v>0</v>
      </c>
      <c r="AE223" s="1819"/>
      <c r="AF223" s="1819"/>
      <c r="AG223" s="1819"/>
    </row>
    <row r="224" spans="1:33">
      <c r="A224" s="1819"/>
      <c r="B224" s="1819" t="s">
        <v>3450</v>
      </c>
      <c r="C224" s="1819"/>
      <c r="D224" s="1819"/>
      <c r="E224" s="1819"/>
      <c r="F224" s="2703">
        <f>ROUNDUP('DCA Underwriting Assumptions'!$Q$58,0)</f>
        <v>8000</v>
      </c>
      <c r="G224" s="2546">
        <f>'Part III-A-Uses of Funds'!G111</f>
        <v>8000</v>
      </c>
      <c r="H224" s="2546"/>
      <c r="I224" s="1819"/>
      <c r="J224" s="378"/>
      <c r="K224" s="378"/>
      <c r="L224" s="378"/>
      <c r="M224" s="378"/>
      <c r="N224" s="378"/>
      <c r="O224" s="378"/>
      <c r="P224" s="378"/>
      <c r="Q224" s="378"/>
      <c r="R224" s="1819"/>
      <c r="S224" s="2546">
        <f>'Part III-A-Uses of Funds'!S111</f>
        <v>8000</v>
      </c>
      <c r="T224" s="2546"/>
      <c r="U224" s="1819"/>
      <c r="V224" s="2664"/>
      <c r="W224" s="1819"/>
      <c r="X224" s="1819"/>
      <c r="Y224" s="2621"/>
      <c r="Z224" s="2674" t="s">
        <v>6706</v>
      </c>
      <c r="AA224" s="2621"/>
      <c r="AB224" s="2704">
        <f>SUM(AB221:AB223)</f>
        <v>0</v>
      </c>
      <c r="AC224" s="1819"/>
      <c r="AD224" s="2705">
        <f>SUM(AD221:AD223)</f>
        <v>0</v>
      </c>
      <c r="AE224" s="1819"/>
      <c r="AF224" s="1819"/>
      <c r="AG224" s="1819"/>
    </row>
    <row r="225" spans="1:33" ht="15.75" customHeight="1">
      <c r="A225" s="2665" t="str">
        <f>IF(AND(G225&gt;0,OR(C225="",C225="&lt;Enter detailed description here; use Comments section if needed&gt;")),"X","")</f>
        <v/>
      </c>
      <c r="B225" s="2621" t="s">
        <v>6275</v>
      </c>
      <c r="C225" s="2666" t="str">
        <f>'Part III-A-Uses of Funds'!C112</f>
        <v>&lt;&lt; Enter description here; provide detail &amp; justification in tab Part III-b &gt;&gt;</v>
      </c>
      <c r="D225" s="2666"/>
      <c r="E225" s="2666"/>
      <c r="F225" s="2666"/>
      <c r="G225" s="2546">
        <f>'Part III-A-Uses of Funds'!G112</f>
        <v>0</v>
      </c>
      <c r="H225" s="2546"/>
      <c r="I225" s="1819"/>
      <c r="J225" s="378"/>
      <c r="K225" s="378"/>
      <c r="L225" s="378"/>
      <c r="M225" s="378"/>
      <c r="N225" s="378"/>
      <c r="O225" s="378"/>
      <c r="P225" s="378"/>
      <c r="Q225" s="378"/>
      <c r="R225" s="1819"/>
      <c r="S225" s="2546">
        <f>'Part III-A-Uses of Funds'!S112</f>
        <v>0</v>
      </c>
      <c r="T225" s="2546"/>
      <c r="U225" s="2623" t="str">
        <f>IF(AND(G225&gt;0,OR(C225="",C225="&lt;Enter detailed description here; use Comments section if needed&gt;")),"NO DESCRIPTION PROVIDED - please enter detailed description in Other box at left; use Comments section below if needed.","")</f>
        <v/>
      </c>
      <c r="V225" s="2664"/>
      <c r="W225" s="1819"/>
      <c r="X225" s="1819"/>
      <c r="Y225" s="2699" t="s">
        <v>6707</v>
      </c>
      <c r="Z225" s="2621"/>
      <c r="AA225" s="1320"/>
      <c r="AB225" s="2621"/>
      <c r="AC225" s="1819"/>
      <c r="AD225" s="2702"/>
      <c r="AE225" s="1819"/>
      <c r="AF225" s="1819"/>
      <c r="AG225" s="1819"/>
    </row>
    <row r="226" spans="1:33" ht="16.5" customHeight="1">
      <c r="A226" s="2665" t="str">
        <f>IF(AND(G226&gt;0,OR(C226="",C226="&lt;Enter detailed description here; use Comments section if needed&gt;")),"X","")</f>
        <v/>
      </c>
      <c r="B226" s="2621" t="s">
        <v>6275</v>
      </c>
      <c r="C226" s="2666" t="str">
        <f>'Part III-A-Uses of Funds'!C113</f>
        <v>&lt;&lt; Enter description here; provide detail &amp; justification in tab Part III-b &gt;&gt;</v>
      </c>
      <c r="D226" s="2666"/>
      <c r="E226" s="2666"/>
      <c r="F226" s="2666"/>
      <c r="G226" s="2546">
        <f>'Part III-A-Uses of Funds'!G113</f>
        <v>0</v>
      </c>
      <c r="H226" s="2546"/>
      <c r="I226" s="1819"/>
      <c r="J226" s="378"/>
      <c r="K226" s="378"/>
      <c r="L226" s="378"/>
      <c r="M226" s="378"/>
      <c r="N226" s="378"/>
      <c r="O226" s="378"/>
      <c r="P226" s="378"/>
      <c r="Q226" s="378"/>
      <c r="R226" s="1819"/>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9"/>
      <c r="X226" s="1819"/>
      <c r="Y226" s="2621" t="s">
        <v>36</v>
      </c>
      <c r="Z226" s="2621"/>
      <c r="AA226" s="1320"/>
      <c r="AB226" s="2701">
        <f>'Part V-Revenues &amp; Expenses'!$P$127</f>
        <v>90</v>
      </c>
      <c r="AC226" s="1819"/>
      <c r="AD226" s="2702">
        <f>IF($AD$101="Income Averaging",AB226*'DCA Underwriting Assumptions'!$Q$61,AB226*'DCA Underwriting Assumptions'!$Q$60)</f>
        <v>72000</v>
      </c>
      <c r="AE226" s="1819"/>
      <c r="AF226" s="1819"/>
      <c r="AG226" s="1819"/>
    </row>
    <row r="227" spans="1:33">
      <c r="A227" s="1819"/>
      <c r="B227" s="1819"/>
      <c r="C227" s="1819"/>
      <c r="D227" s="1819"/>
      <c r="E227" s="1819"/>
      <c r="F227" s="2668" t="s">
        <v>184</v>
      </c>
      <c r="G227" s="2546">
        <f>SUM(G218:G226)</f>
        <v>193500</v>
      </c>
      <c r="H227" s="2546"/>
      <c r="I227" s="1819"/>
      <c r="J227" s="2544"/>
      <c r="K227" s="2544"/>
      <c r="L227" s="2544"/>
      <c r="M227" s="2544"/>
      <c r="N227" s="2544"/>
      <c r="O227" s="1819"/>
      <c r="P227" s="2544"/>
      <c r="Q227" s="2544"/>
      <c r="R227" s="1819"/>
      <c r="S227" s="2546">
        <f>SUM(S218:S226)</f>
        <v>193500</v>
      </c>
      <c r="T227" s="2546"/>
      <c r="U227" s="1819"/>
      <c r="V227" s="2664">
        <f>SUM(V218:V226)</f>
        <v>0</v>
      </c>
      <c r="W227" s="1819"/>
      <c r="X227" s="1819"/>
      <c r="Y227" s="2621" t="s">
        <v>6481</v>
      </c>
      <c r="Z227" s="2621"/>
      <c r="AA227" s="2706"/>
      <c r="AB227" s="2701">
        <f>'Part V-Revenues &amp; Expenses'!$P$138+'Part V-Revenues &amp; Expenses'!$P$139</f>
        <v>0</v>
      </c>
      <c r="AC227" s="1819"/>
      <c r="AD227" s="2702">
        <f>IF($AD$101="Income Averaging",AB227*'DCA Underwriting Assumptions'!$Q$61,AB227*'DCA Underwriting Assumptions'!$Q$60)</f>
        <v>0</v>
      </c>
      <c r="AE227" s="1819"/>
      <c r="AF227" s="1819"/>
      <c r="AG227" s="1819"/>
    </row>
    <row r="228" spans="1:33">
      <c r="A228" s="1819"/>
      <c r="B228" s="2613" t="s">
        <v>2122</v>
      </c>
      <c r="C228" s="1819"/>
      <c r="D228" s="1819"/>
      <c r="E228" s="1819"/>
      <c r="F228" s="1819"/>
      <c r="G228" s="1819"/>
      <c r="H228" s="1819"/>
      <c r="I228" s="1819"/>
      <c r="J228" s="2544"/>
      <c r="K228" s="2544"/>
      <c r="L228" s="1819"/>
      <c r="M228" s="2544"/>
      <c r="N228" s="2544"/>
      <c r="O228" s="2553" t="str">
        <f>B228</f>
        <v>EQUITY COSTS</v>
      </c>
      <c r="P228" s="2544"/>
      <c r="Q228" s="2544"/>
      <c r="R228" s="1819"/>
      <c r="S228" s="2544"/>
      <c r="T228" s="2544"/>
      <c r="U228" s="1819"/>
      <c r="V228" s="2664"/>
      <c r="W228" s="1819"/>
      <c r="X228" s="1819"/>
      <c r="Y228" s="2621"/>
      <c r="Z228" s="2674" t="s">
        <v>6706</v>
      </c>
      <c r="AA228" s="2621"/>
      <c r="AB228" s="2704">
        <f>SUM(AB226:AB227)</f>
        <v>90</v>
      </c>
      <c r="AC228" s="1819"/>
      <c r="AD228" s="2705">
        <f>SUM(AD226:AD227)</f>
        <v>72000</v>
      </c>
      <c r="AE228" s="1819"/>
      <c r="AF228" s="1819"/>
      <c r="AG228" s="1819"/>
    </row>
    <row r="229" spans="1:33">
      <c r="A229" s="1819"/>
      <c r="B229" s="1819" t="s">
        <v>267</v>
      </c>
      <c r="C229" s="1819"/>
      <c r="D229" s="1819"/>
      <c r="E229" s="1819"/>
      <c r="F229" s="1819"/>
      <c r="G229" s="2546">
        <f>'Part III-A-Uses of Funds'!G116</f>
        <v>0</v>
      </c>
      <c r="H229" s="2546"/>
      <c r="I229" s="1819"/>
      <c r="J229" s="2546"/>
      <c r="K229" s="2546"/>
      <c r="L229" s="2544"/>
      <c r="M229" s="2546"/>
      <c r="N229" s="2546"/>
      <c r="O229" s="1819"/>
      <c r="P229" s="2546"/>
      <c r="Q229" s="2546"/>
      <c r="R229" s="1819"/>
      <c r="S229" s="2546">
        <f>'Part III-A-Uses of Funds'!S116</f>
        <v>0</v>
      </c>
      <c r="T229" s="2546"/>
      <c r="U229" s="1819"/>
      <c r="V229" s="2664"/>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6">
        <f>'Part III-A-Uses of Funds'!G117</f>
        <v>0</v>
      </c>
      <c r="H230" s="2546"/>
      <c r="I230" s="1819"/>
      <c r="J230" s="2546"/>
      <c r="K230" s="2546"/>
      <c r="L230" s="2544"/>
      <c r="M230" s="2546"/>
      <c r="N230" s="2546"/>
      <c r="O230" s="1819"/>
      <c r="P230" s="2546"/>
      <c r="Q230" s="2546"/>
      <c r="R230" s="1819"/>
      <c r="S230" s="2546">
        <f>'Part III-A-Uses of Funds'!S117</f>
        <v>0</v>
      </c>
      <c r="T230" s="2546"/>
      <c r="U230" s="1819"/>
      <c r="V230" s="2664"/>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6">
        <f>'Part III-A-Uses of Funds'!G118</f>
        <v>25000</v>
      </c>
      <c r="H231" s="2546"/>
      <c r="I231" s="1819"/>
      <c r="J231" s="2546"/>
      <c r="K231" s="2546"/>
      <c r="L231" s="2544"/>
      <c r="M231" s="2546"/>
      <c r="N231" s="2546"/>
      <c r="O231" s="1819"/>
      <c r="P231" s="2546"/>
      <c r="Q231" s="2546"/>
      <c r="R231" s="1819"/>
      <c r="S231" s="2546">
        <f>'Part III-A-Uses of Funds'!S118</f>
        <v>25000</v>
      </c>
      <c r="T231" s="2546"/>
      <c r="U231" s="1819"/>
      <c r="V231" s="2664"/>
      <c r="W231" s="1819"/>
      <c r="X231" s="1819"/>
      <c r="Y231" s="1819"/>
      <c r="Z231" s="1819"/>
      <c r="AA231" s="1819"/>
      <c r="AB231" s="1819"/>
      <c r="AC231" s="1819"/>
      <c r="AD231" s="1819"/>
      <c r="AE231" s="1819"/>
      <c r="AF231" s="1819"/>
      <c r="AG231" s="1819"/>
    </row>
    <row r="232" spans="1:33" ht="16.5" customHeight="1">
      <c r="A232" s="2665" t="str">
        <f>IF(AND(G232&gt;0,OR(C232="",C232="&lt;Enter detailed description here; use Comments section if needed&gt;")),"X","")</f>
        <v/>
      </c>
      <c r="B232" s="2621" t="s">
        <v>6275</v>
      </c>
      <c r="C232" s="2666" t="str">
        <f>'Part III-A-Uses of Funds'!C119</f>
        <v>&lt;&lt; Enter description here; provide detail &amp; justification in tab Part III-b &gt;&gt;</v>
      </c>
      <c r="D232" s="2666"/>
      <c r="E232" s="2666"/>
      <c r="F232" s="2666"/>
      <c r="G232" s="2546">
        <f>'Part III-A-Uses of Funds'!G119</f>
        <v>0</v>
      </c>
      <c r="H232" s="2546"/>
      <c r="I232" s="1819"/>
      <c r="J232" s="2546"/>
      <c r="K232" s="2546"/>
      <c r="L232" s="2544"/>
      <c r="M232" s="2546"/>
      <c r="N232" s="2546"/>
      <c r="O232" s="1819"/>
      <c r="P232" s="2546"/>
      <c r="Q232" s="2546"/>
      <c r="R232" s="1819"/>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8" t="s">
        <v>184</v>
      </c>
      <c r="G233" s="2546">
        <f>SUM(G229:G232)</f>
        <v>25000</v>
      </c>
      <c r="H233" s="2546"/>
      <c r="I233" s="1819"/>
      <c r="J233" s="2546"/>
      <c r="K233" s="2546"/>
      <c r="L233" s="2544"/>
      <c r="M233" s="2546"/>
      <c r="N233" s="2546"/>
      <c r="O233" s="1819"/>
      <c r="P233" s="2546"/>
      <c r="Q233" s="2546"/>
      <c r="R233" s="1819"/>
      <c r="S233" s="2546">
        <f>SUM(S229:S232)</f>
        <v>25000</v>
      </c>
      <c r="T233" s="2546"/>
      <c r="U233" s="1819"/>
      <c r="V233" s="2664">
        <f>SUM(V229:V232)</f>
        <v>0</v>
      </c>
      <c r="W233" s="1819"/>
      <c r="X233" s="1819"/>
      <c r="Y233" s="1819"/>
      <c r="Z233" s="1819"/>
      <c r="AA233" s="2707" t="s">
        <v>3922</v>
      </c>
      <c r="AB233" s="2707" t="s">
        <v>3923</v>
      </c>
      <c r="AC233" s="2707" t="s">
        <v>3926</v>
      </c>
      <c r="AD233" s="2708" t="s">
        <v>3924</v>
      </c>
      <c r="AE233" s="2707" t="s">
        <v>3915</v>
      </c>
      <c r="AF233" s="2709" t="s">
        <v>6742</v>
      </c>
      <c r="AG233" s="2709"/>
    </row>
    <row r="234" spans="1:33" ht="13.5">
      <c r="A234" s="1819"/>
      <c r="B234" s="2613" t="s">
        <v>269</v>
      </c>
      <c r="C234" s="1819"/>
      <c r="D234" s="1819"/>
      <c r="E234" s="2653" t="s">
        <v>3925</v>
      </c>
      <c r="F234" s="2618" t="str">
        <f>'Part III-A-Uses of Funds'!F121</f>
        <v>9%</v>
      </c>
      <c r="G234" s="1819"/>
      <c r="H234" s="1819"/>
      <c r="I234" s="1819"/>
      <c r="J234" s="2544"/>
      <c r="K234" s="2546"/>
      <c r="L234" s="1819"/>
      <c r="M234" s="2544"/>
      <c r="N234" s="2546"/>
      <c r="O234" s="2553" t="str">
        <f>B234</f>
        <v>DEVELOPER'S FEE</v>
      </c>
      <c r="P234" s="2544"/>
      <c r="Q234" s="2546"/>
      <c r="R234" s="1819"/>
      <c r="S234" s="2544"/>
      <c r="T234" s="2546"/>
      <c r="U234" s="1819"/>
      <c r="V234" s="2664"/>
      <c r="W234" s="403" t="s">
        <v>3913</v>
      </c>
      <c r="X234" s="403"/>
      <c r="Y234" s="1320" t="s">
        <v>3919</v>
      </c>
      <c r="Z234" s="1320" t="s">
        <v>3920</v>
      </c>
      <c r="AA234" s="2707"/>
      <c r="AB234" s="2707"/>
      <c r="AC234" s="2707"/>
      <c r="AD234" s="2708"/>
      <c r="AE234" s="2707"/>
      <c r="AF234" s="2709"/>
      <c r="AG234" s="2709"/>
    </row>
    <row r="235" spans="1:33" ht="13.5">
      <c r="A235" s="1819"/>
      <c r="B235" s="1819" t="s">
        <v>1724</v>
      </c>
      <c r="C235" s="1819"/>
      <c r="D235" s="1819"/>
      <c r="E235" s="1819"/>
      <c r="F235" s="2648">
        <f>'Part III-A-Uses of Funds'!F122</f>
        <v>0.5</v>
      </c>
      <c r="G235" s="2546">
        <f>'Part III-A-Uses of Funds'!G122</f>
        <v>1000000</v>
      </c>
      <c r="H235" s="2546"/>
      <c r="I235" s="1819"/>
      <c r="J235" s="2546">
        <f>'Part III-A-Uses of Funds'!J122</f>
        <v>1000000</v>
      </c>
      <c r="K235" s="2546"/>
      <c r="L235" s="2544"/>
      <c r="M235" s="2546">
        <f>'Part III-A-Uses of Funds'!M122</f>
        <v>0</v>
      </c>
      <c r="N235" s="2546"/>
      <c r="O235" s="1819"/>
      <c r="P235" s="2546">
        <f>'Part III-A-Uses of Funds'!P122</f>
        <v>0</v>
      </c>
      <c r="Q235" s="2546"/>
      <c r="R235" s="1819"/>
      <c r="S235" s="2546">
        <f>'Part III-A-Uses of Funds'!S122</f>
        <v>0</v>
      </c>
      <c r="T235" s="2546"/>
      <c r="U235" s="1819"/>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1375000</v>
      </c>
      <c r="AD235" s="2712">
        <f>SUM(AC235:AC237)</f>
        <v>1560000</v>
      </c>
      <c r="AE235" s="2712">
        <f>'DCA Underwriting Assumptions'!$Q$74</f>
        <v>2000000</v>
      </c>
      <c r="AF235" s="2646">
        <f>MIN(AD235,AE235)</f>
        <v>1560000</v>
      </c>
      <c r="AG235" s="2646"/>
    </row>
    <row r="236" spans="1:33" ht="13.5">
      <c r="A236" s="1819"/>
      <c r="B236" s="1819" t="s">
        <v>3411</v>
      </c>
      <c r="C236" s="1819"/>
      <c r="D236" s="1819"/>
      <c r="E236" s="1819"/>
      <c r="F236" s="2563">
        <f>'Part III-A-Uses of Funds'!F123</f>
        <v>0</v>
      </c>
      <c r="G236" s="2706" t="s">
        <v>6722</v>
      </c>
      <c r="H236" s="1819"/>
      <c r="I236" s="1819"/>
      <c r="J236" s="1819"/>
      <c r="K236" s="1819"/>
      <c r="L236" s="1819"/>
      <c r="M236" s="1819"/>
      <c r="N236" s="1819"/>
      <c r="O236" s="1819"/>
      <c r="P236" s="1819"/>
      <c r="Q236" s="1819"/>
      <c r="R236" s="1819"/>
      <c r="S236" s="1819"/>
      <c r="T236" s="1819"/>
      <c r="U236" s="1819"/>
      <c r="V236" s="2664"/>
      <c r="X236" s="1748"/>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ht="13.5">
      <c r="A237" s="1819"/>
      <c r="B237" s="1819" t="s">
        <v>1725</v>
      </c>
      <c r="C237" s="1819"/>
      <c r="D237" s="1819"/>
      <c r="E237" s="1819"/>
      <c r="F237" s="2648">
        <f>'Part III-A-Uses of Funds'!F124</f>
        <v>0</v>
      </c>
      <c r="G237" s="2546">
        <f>'Part III-A-Uses of Funds'!G124</f>
        <v>0</v>
      </c>
      <c r="H237" s="2546"/>
      <c r="I237" s="1819"/>
      <c r="J237" s="2546">
        <f>'Part III-A-Uses of Funds'!J124</f>
        <v>0</v>
      </c>
      <c r="K237" s="2546"/>
      <c r="L237" s="2544"/>
      <c r="M237" s="2546">
        <f>'Part III-A-Uses of Funds'!M124</f>
        <v>0</v>
      </c>
      <c r="N237" s="2546"/>
      <c r="O237" s="1819"/>
      <c r="P237" s="2546">
        <f>'Part III-A-Uses of Funds'!P124</f>
        <v>0</v>
      </c>
      <c r="Q237" s="2546"/>
      <c r="R237" s="1819"/>
      <c r="S237" s="2546">
        <f>'Part III-A-Uses of Funds'!S124</f>
        <v>0</v>
      </c>
      <c r="T237" s="2546"/>
      <c r="U237" s="1819"/>
      <c r="V237" s="2664"/>
      <c r="X237" s="1748"/>
      <c r="Y237" s="2711">
        <f>'DCA Underwriting Assumptions'!$J$69</f>
        <v>71</v>
      </c>
      <c r="Z237" s="1748"/>
      <c r="AA237" s="2701">
        <f>'DCA Underwriting Assumptions'!$Q$69</f>
        <v>16500</v>
      </c>
      <c r="AB237" s="2701">
        <f>AE235-AB236-AB235</f>
        <v>185000</v>
      </c>
      <c r="AC237" s="2701">
        <f>MIN(AB237,IF('Part V-Revenues &amp; Expenses'!$P$67&gt;Z236,('Part V-Revenues &amp; Expenses'!$P$67-Z236)*AA237,0))</f>
        <v>185000</v>
      </c>
      <c r="AD237" s="2712"/>
      <c r="AE237" s="2712"/>
      <c r="AF237" s="2646"/>
      <c r="AG237" s="2646"/>
    </row>
    <row r="238" spans="1:33" ht="13.5">
      <c r="A238" s="1819"/>
      <c r="B238" s="1819" t="s">
        <v>3163</v>
      </c>
      <c r="C238" s="1819"/>
      <c r="D238" s="1819"/>
      <c r="E238" s="1819"/>
      <c r="F238" s="2648">
        <f>'Part III-A-Uses of Funds'!F125</f>
        <v>0</v>
      </c>
      <c r="G238" s="2546">
        <f>'Part III-A-Uses of Funds'!G125</f>
        <v>0</v>
      </c>
      <c r="H238" s="2546"/>
      <c r="I238" s="1819"/>
      <c r="J238" s="2546">
        <f>'Part III-A-Uses of Funds'!J125</f>
        <v>0</v>
      </c>
      <c r="K238" s="2546"/>
      <c r="L238" s="2544"/>
      <c r="M238" s="2546">
        <f>'Part III-A-Uses of Funds'!M125</f>
        <v>0</v>
      </c>
      <c r="N238" s="2546"/>
      <c r="O238" s="1819"/>
      <c r="P238" s="2546">
        <f>'Part III-A-Uses of Funds'!P125</f>
        <v>0</v>
      </c>
      <c r="Q238" s="2546"/>
      <c r="R238" s="1819"/>
      <c r="S238" s="2546">
        <f>'Part III-A-Uses of Funds'!S125</f>
        <v>0</v>
      </c>
      <c r="T238" s="2546"/>
      <c r="U238" s="1819"/>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1375000</v>
      </c>
      <c r="AD238" s="2712">
        <f>SUM(AC238:AC240)</f>
        <v>1705000</v>
      </c>
      <c r="AE238" s="2712">
        <f>'DCA Underwriting Assumptions'!$Q$75</f>
        <v>3500000</v>
      </c>
      <c r="AF238" s="2646">
        <f>MIN(AD238,AE238)</f>
        <v>1705000</v>
      </c>
      <c r="AG238" s="2646"/>
    </row>
    <row r="239" spans="1:33" ht="13.5">
      <c r="A239" s="1819"/>
      <c r="B239" s="1819" t="s">
        <v>1717</v>
      </c>
      <c r="C239" s="1819"/>
      <c r="D239" s="1819"/>
      <c r="E239" s="1819"/>
      <c r="F239" s="2648">
        <f>'Part III-A-Uses of Funds'!F126</f>
        <v>0.5</v>
      </c>
      <c r="G239" s="2546">
        <f>'Part III-A-Uses of Funds'!G126</f>
        <v>1000000</v>
      </c>
      <c r="H239" s="2546"/>
      <c r="I239" s="1819"/>
      <c r="J239" s="2546">
        <f>'Part III-A-Uses of Funds'!J126</f>
        <v>1000000</v>
      </c>
      <c r="K239" s="2546"/>
      <c r="L239" s="2544"/>
      <c r="M239" s="2546">
        <f>'Part III-A-Uses of Funds'!M126</f>
        <v>0</v>
      </c>
      <c r="N239" s="2546"/>
      <c r="O239" s="1819"/>
      <c r="P239" s="2546">
        <f>'Part III-A-Uses of Funds'!P126</f>
        <v>0</v>
      </c>
      <c r="Q239" s="2546"/>
      <c r="R239" s="1819"/>
      <c r="S239" s="2546">
        <f>'Part III-A-Uses of Funds'!S126</f>
        <v>0</v>
      </c>
      <c r="T239" s="2546"/>
      <c r="U239" s="1819"/>
      <c r="V239" s="2664"/>
      <c r="X239" s="1748"/>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ht="13.5">
      <c r="A240" s="2713" t="str">
        <f>IF(G240&gt;E240,"DF over limit!  Round down/Enter nbr.","")</f>
        <v/>
      </c>
      <c r="B240" s="2714"/>
      <c r="C240" s="1819"/>
      <c r="D240" s="2653" t="s">
        <v>3921</v>
      </c>
      <c r="E240" s="2715">
        <f>'Part III-A-Uses of Funds'!E127</f>
        <v>2000000</v>
      </c>
      <c r="F240" s="2668" t="s">
        <v>184</v>
      </c>
      <c r="G240" s="2546">
        <f>SUM(G235:G239)</f>
        <v>2000000</v>
      </c>
      <c r="H240" s="2546"/>
      <c r="I240" s="1819"/>
      <c r="J240" s="2546">
        <f>SUM(J235:J239)</f>
        <v>2000000</v>
      </c>
      <c r="K240" s="2546"/>
      <c r="L240" s="2544"/>
      <c r="M240" s="2546">
        <f>SUM(M235:M239)</f>
        <v>0</v>
      </c>
      <c r="N240" s="2546"/>
      <c r="O240" s="1819"/>
      <c r="P240" s="2546">
        <f>SUM(P235:P239)</f>
        <v>0</v>
      </c>
      <c r="Q240" s="2546"/>
      <c r="R240" s="1819"/>
      <c r="S240" s="2546">
        <f>SUM(S235:S239)</f>
        <v>0</v>
      </c>
      <c r="T240" s="2546"/>
      <c r="U240" s="1819"/>
      <c r="V240" s="2664">
        <f>SUM(V235:V239)</f>
        <v>0</v>
      </c>
      <c r="X240" s="1748"/>
      <c r="Y240" s="2711">
        <f>'DCA Underwriting Assumptions'!$J$72</f>
        <v>71</v>
      </c>
      <c r="Z240" s="1748"/>
      <c r="AA240" s="2701">
        <f>'DCA Underwriting Assumptions'!$Q$72</f>
        <v>16500</v>
      </c>
      <c r="AB240" s="2701">
        <f>AE238-AB239-AB238</f>
        <v>1685000</v>
      </c>
      <c r="AC240" s="2701">
        <f>MIN(AB240,IF('Part V-Revenues &amp; Expenses'!$P$67&gt;Z239,('Part V-Revenues &amp; Expenses'!$P$67-Z239)*AA240,0))</f>
        <v>330000</v>
      </c>
      <c r="AD240" s="2712"/>
      <c r="AE240" s="2712"/>
      <c r="AF240" s="2646"/>
      <c r="AG240" s="2646"/>
    </row>
    <row r="241" spans="1:22">
      <c r="A241" s="1819"/>
      <c r="B241" s="2613" t="s">
        <v>1231</v>
      </c>
      <c r="C241" s="1819"/>
      <c r="D241" s="1819"/>
      <c r="E241" s="1819"/>
      <c r="F241" s="1819"/>
      <c r="G241" s="1819"/>
      <c r="H241" s="1819"/>
      <c r="I241" s="1819"/>
      <c r="J241" s="2546"/>
      <c r="K241" s="2546"/>
      <c r="L241" s="1819"/>
      <c r="M241" s="2546"/>
      <c r="N241" s="2546"/>
      <c r="O241" s="2553" t="str">
        <f>B241</f>
        <v>START-UP AND RESERVES</v>
      </c>
      <c r="P241" s="2546"/>
      <c r="Q241" s="2546"/>
      <c r="R241" s="1819"/>
      <c r="S241" s="2546"/>
      <c r="T241" s="2546"/>
      <c r="U241" s="1819"/>
      <c r="V241" s="2664"/>
    </row>
    <row r="242" spans="1:22">
      <c r="A242" s="1819"/>
      <c r="B242" s="1819" t="s">
        <v>241</v>
      </c>
      <c r="C242" s="1819"/>
      <c r="D242" s="1819"/>
      <c r="E242" s="1819"/>
      <c r="F242" s="1819"/>
      <c r="G242" s="2546">
        <f>'Part III-A-Uses of Funds'!G129</f>
        <v>75000</v>
      </c>
      <c r="H242" s="2546"/>
      <c r="I242" s="1819"/>
      <c r="J242" s="2559"/>
      <c r="K242" s="2559"/>
      <c r="L242" s="2559"/>
      <c r="M242" s="2559"/>
      <c r="N242" s="2559"/>
      <c r="O242" s="1819"/>
      <c r="P242" s="2559"/>
      <c r="Q242" s="2559"/>
      <c r="R242" s="1819"/>
      <c r="S242" s="2546">
        <f>'Part III-A-Uses of Funds'!S129</f>
        <v>75000</v>
      </c>
      <c r="T242" s="2546"/>
      <c r="U242" s="1819"/>
      <c r="V242" s="2664"/>
    </row>
    <row r="243" spans="1:22">
      <c r="A243" s="1819"/>
      <c r="B243" s="1819" t="s">
        <v>1436</v>
      </c>
      <c r="C243" s="1819"/>
      <c r="D243" s="1819"/>
      <c r="E243" s="1819"/>
      <c r="F243" s="2716">
        <f>'Part III-A-Uses of Funds'!F130</f>
        <v>127723</v>
      </c>
      <c r="G243" s="2546">
        <f>'Part III-A-Uses of Funds'!G130</f>
        <v>127723</v>
      </c>
      <c r="H243" s="2546"/>
      <c r="I243" s="1819"/>
      <c r="J243" s="2564" t="str">
        <f>IF(E243&gt;G243,"WARNING! Rent-Up Reserves proposed is below minimum - add comment.","")</f>
        <v/>
      </c>
      <c r="K243" s="2564"/>
      <c r="L243" s="2544"/>
      <c r="M243" s="2546"/>
      <c r="N243" s="2546"/>
      <c r="O243" s="1819"/>
      <c r="P243" s="2546"/>
      <c r="Q243" s="2546"/>
      <c r="R243" s="1819"/>
      <c r="S243" s="2546">
        <f>'Part III-A-Uses of Funds'!S130</f>
        <v>127723</v>
      </c>
      <c r="T243" s="2546"/>
      <c r="U243" s="1819"/>
      <c r="V243" s="2664"/>
    </row>
    <row r="244" spans="1:22">
      <c r="A244" s="1819"/>
      <c r="B244" s="1819" t="s">
        <v>632</v>
      </c>
      <c r="C244" s="1819"/>
      <c r="D244" s="1819"/>
      <c r="E244" s="1819"/>
      <c r="F244" s="2716">
        <f>'Part III-A-Uses of Funds'!F131</f>
        <v>511662.61400011659</v>
      </c>
      <c r="G244" s="2546">
        <f>'Part III-A-Uses of Funds'!G131</f>
        <v>511662</v>
      </c>
      <c r="H244" s="2546"/>
      <c r="I244" s="1819"/>
      <c r="J244" s="2564" t="str">
        <f>IF(E244&gt;G244,"WARNING! ODR proposed is below minimum - add comment.","")</f>
        <v/>
      </c>
      <c r="K244" s="2559"/>
      <c r="L244" s="2559"/>
      <c r="M244" s="2559"/>
      <c r="N244" s="2559"/>
      <c r="O244" s="1819"/>
      <c r="P244" s="2559"/>
      <c r="Q244" s="2559"/>
      <c r="R244" s="1819"/>
      <c r="S244" s="2546">
        <f>'Part III-A-Uses of Funds'!S131</f>
        <v>511662</v>
      </c>
      <c r="T244" s="2546"/>
      <c r="U244" s="1819"/>
      <c r="V244" s="2664"/>
    </row>
    <row r="245" spans="1:22">
      <c r="A245" s="1819"/>
      <c r="B245" s="1819" t="s">
        <v>1170</v>
      </c>
      <c r="C245" s="1819"/>
      <c r="D245" s="1819"/>
      <c r="E245" s="1819"/>
      <c r="F245" s="1819"/>
      <c r="G245" s="2546">
        <f>'Part III-A-Uses of Funds'!G132</f>
        <v>0</v>
      </c>
      <c r="H245" s="2546"/>
      <c r="I245" s="1819"/>
      <c r="J245" s="2559"/>
      <c r="K245" s="2559"/>
      <c r="L245" s="2559"/>
      <c r="M245" s="2559"/>
      <c r="N245" s="2559"/>
      <c r="O245" s="1819"/>
      <c r="P245" s="2559"/>
      <c r="Q245" s="2559"/>
      <c r="R245" s="1819"/>
      <c r="S245" s="2546">
        <f>'Part III-A-Uses of Funds'!S132</f>
        <v>0</v>
      </c>
      <c r="T245" s="2546"/>
      <c r="U245" s="1819"/>
      <c r="V245" s="2664"/>
    </row>
    <row r="246" spans="1:22">
      <c r="A246" s="1819"/>
      <c r="B246" s="1819" t="s">
        <v>1171</v>
      </c>
      <c r="C246" s="1819"/>
      <c r="D246" s="1819"/>
      <c r="E246" s="2669" t="s">
        <v>3137</v>
      </c>
      <c r="F246" s="2716">
        <f>'Part III-A-Uses of Funds'!F133</f>
        <v>2277.7777777777778</v>
      </c>
      <c r="G246" s="2546">
        <f>'Part III-A-Uses of Funds'!G133</f>
        <v>205000</v>
      </c>
      <c r="H246" s="2546"/>
      <c r="I246" s="1819"/>
      <c r="J246" s="2546">
        <f>'Part III-A-Uses of Funds'!J133</f>
        <v>205000</v>
      </c>
      <c r="K246" s="2546"/>
      <c r="L246" s="2544"/>
      <c r="M246" s="2546">
        <f>'Part III-A-Uses of Funds'!M133</f>
        <v>0</v>
      </c>
      <c r="N246" s="2546"/>
      <c r="O246" s="1819"/>
      <c r="P246" s="2546">
        <f>'Part III-A-Uses of Funds'!P133</f>
        <v>0</v>
      </c>
      <c r="Q246" s="2546"/>
      <c r="R246" s="1819"/>
      <c r="S246" s="2546">
        <f>'Part III-A-Uses of Funds'!S133</f>
        <v>0</v>
      </c>
      <c r="T246" s="2546"/>
      <c r="U246" s="1819"/>
      <c r="V246" s="2664"/>
    </row>
    <row r="247" spans="1:22" ht="16.5" customHeight="1">
      <c r="A247" s="2665" t="str">
        <f>IF(AND(G247&gt;0,OR(C247="",C247="&lt;Enter detailed description here; use Comments section if needed&gt;")),"X","")</f>
        <v/>
      </c>
      <c r="B247" s="2621" t="s">
        <v>6275</v>
      </c>
      <c r="C247" s="2666" t="str">
        <f>'Part III-A-Uses of Funds'!C134</f>
        <v>Taxes and Insurance Escrow</v>
      </c>
      <c r="D247" s="2666"/>
      <c r="E247" s="2666"/>
      <c r="F247" s="2666"/>
      <c r="G247" s="2546">
        <f>'Part III-A-Uses of Funds'!G134</f>
        <v>60000</v>
      </c>
      <c r="H247" s="2546"/>
      <c r="I247" s="1819"/>
      <c r="J247" s="2546">
        <f>'Part III-A-Uses of Funds'!J134</f>
        <v>0</v>
      </c>
      <c r="K247" s="2546"/>
      <c r="L247" s="2544"/>
      <c r="M247" s="2546">
        <f>'Part III-A-Uses of Funds'!M134</f>
        <v>0</v>
      </c>
      <c r="N247" s="2546"/>
      <c r="O247" s="1819"/>
      <c r="P247" s="2546">
        <f>'Part III-A-Uses of Funds'!P134</f>
        <v>0</v>
      </c>
      <c r="Q247" s="2546"/>
      <c r="R247" s="1819"/>
      <c r="S247" s="2546">
        <f>'Part III-A-Uses of Funds'!S134</f>
        <v>60000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c r="A248" s="1819"/>
      <c r="B248" s="2717"/>
      <c r="C248" s="1819"/>
      <c r="D248" s="1819"/>
      <c r="E248" s="1819"/>
      <c r="F248" s="2668" t="s">
        <v>184</v>
      </c>
      <c r="G248" s="2546">
        <f>SUM(G242:G247)</f>
        <v>979385</v>
      </c>
      <c r="H248" s="2546"/>
      <c r="I248" s="1819"/>
      <c r="J248" s="2546">
        <f>SUM(J246:J247)</f>
        <v>205000</v>
      </c>
      <c r="K248" s="2546"/>
      <c r="L248" s="2544"/>
      <c r="M248" s="2546">
        <f>SUM(M246:M247)</f>
        <v>0</v>
      </c>
      <c r="N248" s="2546"/>
      <c r="O248" s="1819"/>
      <c r="P248" s="2546">
        <f>SUM(P246:P247)</f>
        <v>0</v>
      </c>
      <c r="Q248" s="2546"/>
      <c r="R248" s="1819"/>
      <c r="S248" s="2546">
        <f>SUM(S242:S247)</f>
        <v>774385</v>
      </c>
      <c r="T248" s="2546"/>
      <c r="U248" s="1819"/>
      <c r="V248" s="2664">
        <f>SUM(V242:V247)</f>
        <v>0</v>
      </c>
    </row>
    <row r="249" spans="1:22">
      <c r="A249" s="1819"/>
      <c r="B249" s="1819"/>
      <c r="C249" s="1819"/>
      <c r="D249" s="1819"/>
      <c r="E249" s="1819"/>
      <c r="F249" s="1819"/>
      <c r="G249" s="1819"/>
      <c r="H249" s="1819"/>
      <c r="I249" s="2718"/>
      <c r="J249" s="1819"/>
      <c r="K249" s="1819"/>
      <c r="L249" s="2718"/>
      <c r="M249" s="1819"/>
      <c r="N249" s="1819"/>
      <c r="O249" s="1819"/>
      <c r="P249" s="1819"/>
      <c r="Q249" s="1819"/>
      <c r="R249" s="1819"/>
      <c r="S249" s="1819"/>
      <c r="T249" s="1819"/>
      <c r="U249" s="1819"/>
      <c r="V249" s="2664"/>
    </row>
    <row r="250" spans="1:22">
      <c r="A250" s="1819"/>
      <c r="B250" s="1819"/>
      <c r="C250" s="1819"/>
      <c r="D250" s="2622"/>
      <c r="E250" s="2622"/>
      <c r="F250" s="1819"/>
      <c r="G250" s="1819"/>
      <c r="H250" s="1819"/>
      <c r="I250" s="2719"/>
      <c r="J250" s="2719"/>
      <c r="K250" s="2565"/>
      <c r="L250" s="2622"/>
      <c r="M250" s="1819"/>
      <c r="N250" s="1819"/>
      <c r="O250" s="1819"/>
      <c r="P250" s="1819"/>
      <c r="Q250" s="1819"/>
      <c r="R250" s="1819"/>
      <c r="S250" s="1819"/>
      <c r="T250" s="1819"/>
      <c r="U250" s="1819"/>
      <c r="V250" s="2664"/>
    </row>
    <row r="251" spans="1:22">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9"/>
      <c r="V251" s="2664"/>
    </row>
    <row r="252" spans="1:22" ht="17.25" customHeight="1">
      <c r="A252" s="2661" t="s">
        <v>573</v>
      </c>
      <c r="B252" s="2661" t="s">
        <v>6958</v>
      </c>
      <c r="C252" s="1819"/>
      <c r="D252" s="1819"/>
      <c r="E252" s="1819"/>
      <c r="F252" s="1819"/>
      <c r="G252" s="1819"/>
      <c r="H252" s="1819"/>
      <c r="I252" s="1819"/>
      <c r="J252" s="2615" t="s">
        <v>259</v>
      </c>
      <c r="K252" s="2615"/>
      <c r="L252" s="2546"/>
      <c r="M252" s="2552" t="s">
        <v>460</v>
      </c>
      <c r="N252" s="2552"/>
      <c r="O252" s="1819"/>
      <c r="P252" s="2615" t="s">
        <v>260</v>
      </c>
      <c r="Q252" s="2615"/>
      <c r="R252" s="1819"/>
      <c r="S252" s="2615" t="s">
        <v>261</v>
      </c>
      <c r="T252" s="2615"/>
      <c r="U252" s="1819"/>
      <c r="V252" s="2663" t="str">
        <f>B252</f>
        <v>DEVELOPMENT BUDGET  (cont'd)</v>
      </c>
    </row>
    <row r="253" spans="1:22">
      <c r="A253" s="1819"/>
      <c r="B253" s="1819"/>
      <c r="C253" s="1819"/>
      <c r="D253" s="1819"/>
      <c r="E253" s="1819"/>
      <c r="F253" s="1819"/>
      <c r="G253" s="2613" t="s">
        <v>95</v>
      </c>
      <c r="H253" s="2613"/>
      <c r="I253" s="1819"/>
      <c r="J253" s="2615"/>
      <c r="K253" s="2615"/>
      <c r="L253" s="2546"/>
      <c r="M253" s="2552"/>
      <c r="N253" s="2552"/>
      <c r="O253" s="1819"/>
      <c r="P253" s="2615"/>
      <c r="Q253" s="2615"/>
      <c r="R253" s="1819"/>
      <c r="S253" s="2615"/>
      <c r="T253" s="2615"/>
      <c r="U253" s="1819"/>
      <c r="V253" s="377" t="s">
        <v>2448</v>
      </c>
    </row>
    <row r="254" spans="1:22">
      <c r="A254" s="1819"/>
      <c r="B254" s="2613" t="s">
        <v>568</v>
      </c>
      <c r="C254" s="2622"/>
      <c r="D254" s="1819"/>
      <c r="E254" s="1819"/>
      <c r="F254" s="1819"/>
      <c r="G254" s="1819"/>
      <c r="H254" s="2719"/>
      <c r="I254" s="2719"/>
      <c r="J254" s="2546"/>
      <c r="K254" s="2546"/>
      <c r="L254" s="1819"/>
      <c r="M254" s="2546"/>
      <c r="N254" s="2546"/>
      <c r="O254" s="2553" t="str">
        <f>B254</f>
        <v>OTHER COSTS</v>
      </c>
      <c r="P254" s="2546"/>
      <c r="Q254" s="2546"/>
      <c r="R254" s="1819"/>
      <c r="S254" s="2546"/>
      <c r="T254" s="2546"/>
      <c r="U254" s="1819"/>
      <c r="V254" s="2664"/>
    </row>
    <row r="255" spans="1:22">
      <c r="A255" s="1819"/>
      <c r="B255" s="1819" t="s">
        <v>569</v>
      </c>
      <c r="C255" s="2622"/>
      <c r="D255" s="1819"/>
      <c r="E255" s="1819"/>
      <c r="F255" s="1819"/>
      <c r="G255" s="2546">
        <f>'Part III-A-Uses of Funds'!G142</f>
        <v>0</v>
      </c>
      <c r="H255" s="2546"/>
      <c r="I255" s="1819"/>
      <c r="J255" s="2546">
        <f>'Part III-A-Uses of Funds'!J142</f>
        <v>0</v>
      </c>
      <c r="K255" s="2546"/>
      <c r="L255" s="2544"/>
      <c r="M255" s="2546">
        <f>'Part III-A-Uses of Funds'!M142</f>
        <v>0</v>
      </c>
      <c r="N255" s="2546"/>
      <c r="O255" s="1819"/>
      <c r="P255" s="2546">
        <f>'Part III-A-Uses of Funds'!P142</f>
        <v>0</v>
      </c>
      <c r="Q255" s="2546"/>
      <c r="R255" s="1819"/>
      <c r="S255" s="2546">
        <f>'Part III-A-Uses of Funds'!S142</f>
        <v>0</v>
      </c>
      <c r="T255" s="2546"/>
      <c r="U255" s="1819"/>
      <c r="V255" s="2664"/>
    </row>
    <row r="256" spans="1:22" ht="16.5" customHeight="1">
      <c r="A256" s="2665" t="str">
        <f>IF(AND(G256&gt;0,OR(C256="",C256="&lt;Enter detailed description here; use Comments section if needed&gt;")),"X","")</f>
        <v/>
      </c>
      <c r="B256" s="2621" t="s">
        <v>6275</v>
      </c>
      <c r="C256" s="2666" t="str">
        <f>'Part III-A-Uses of Funds'!C143</f>
        <v>&lt;&lt; Enter description here; provide detail &amp; justification in tab Part III-b &gt;&gt;</v>
      </c>
      <c r="D256" s="2666"/>
      <c r="E256" s="2666"/>
      <c r="F256" s="2666"/>
      <c r="G256" s="2546">
        <f>'Part III-A-Uses of Funds'!G143</f>
        <v>0</v>
      </c>
      <c r="H256" s="2546"/>
      <c r="I256" s="1819"/>
      <c r="J256" s="2546">
        <f>'Part III-A-Uses of Funds'!J143</f>
        <v>0</v>
      </c>
      <c r="K256" s="2546"/>
      <c r="L256" s="2544"/>
      <c r="M256" s="2546">
        <f>'Part III-A-Uses of Funds'!M143</f>
        <v>0</v>
      </c>
      <c r="N256" s="2546"/>
      <c r="O256" s="1819"/>
      <c r="P256" s="2546">
        <f>'Part III-A-Uses of Funds'!P143</f>
        <v>0</v>
      </c>
      <c r="Q256" s="2546"/>
      <c r="R256" s="1819"/>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c r="A257" s="1819"/>
      <c r="B257" s="1819"/>
      <c r="C257" s="2622"/>
      <c r="D257" s="1819"/>
      <c r="E257" s="1819"/>
      <c r="F257" s="2668" t="s">
        <v>184</v>
      </c>
      <c r="G257" s="2546">
        <f>SUM(G255:G256)</f>
        <v>0</v>
      </c>
      <c r="H257" s="2546"/>
      <c r="I257" s="1819"/>
      <c r="J257" s="2546">
        <f>SUM(J255:J256)</f>
        <v>0</v>
      </c>
      <c r="K257" s="2546"/>
      <c r="L257" s="2544"/>
      <c r="M257" s="2546">
        <f>SUM(M255:M256)</f>
        <v>0</v>
      </c>
      <c r="N257" s="2546"/>
      <c r="O257" s="1819"/>
      <c r="P257" s="2546">
        <f>SUM(P255:P256)</f>
        <v>0</v>
      </c>
      <c r="Q257" s="2546"/>
      <c r="R257" s="1819"/>
      <c r="S257" s="2546">
        <f>SUM(S255:S256)</f>
        <v>0</v>
      </c>
      <c r="T257" s="2546"/>
      <c r="U257" s="1819"/>
      <c r="V257" s="2664">
        <f>SUM(V255:V256)</f>
        <v>0</v>
      </c>
    </row>
    <row r="258" spans="1:22">
      <c r="A258" s="1819"/>
      <c r="B258" s="1819"/>
      <c r="C258" s="2622"/>
      <c r="D258" s="1819"/>
      <c r="E258" s="1819"/>
      <c r="F258" s="1819"/>
      <c r="G258" s="1819"/>
      <c r="H258" s="2719"/>
      <c r="I258" s="2719"/>
      <c r="J258" s="1819"/>
      <c r="K258" s="1819"/>
      <c r="L258" s="1819"/>
      <c r="M258" s="1819"/>
      <c r="N258" s="1819"/>
      <c r="O258" s="1819"/>
      <c r="P258" s="1819"/>
      <c r="Q258" s="1819"/>
      <c r="R258" s="1819"/>
      <c r="S258" s="1819"/>
      <c r="T258" s="1819"/>
      <c r="U258" s="1819"/>
      <c r="V258" s="2664"/>
    </row>
    <row r="259" spans="1:22" ht="16.5">
      <c r="A259" s="1819"/>
      <c r="B259" s="2720" t="s">
        <v>6959</v>
      </c>
      <c r="C259" s="1819"/>
      <c r="D259" s="1819"/>
      <c r="E259" s="2669"/>
      <c r="F259" s="2721"/>
      <c r="G259" s="2566">
        <f>G131+G137+G141+G149+G154+G159+G168+G186+G199+G205+G216+G227+G233+G240+G248+G257</f>
        <v>25403016</v>
      </c>
      <c r="H259" s="2566"/>
      <c r="I259" s="1819"/>
      <c r="J259" s="2566">
        <f>J131+J137+J141+J149+J154+J159+J168+J186+J199+J205+J216+J227+J233+J240+J248+J257</f>
        <v>21486863</v>
      </c>
      <c r="K259" s="2566"/>
      <c r="L259" s="1819"/>
      <c r="M259" s="2566">
        <f>M131+M137+M141+M149+M154+M159+M168+M186+M199+M205+M216+M227+M233+M240+M248+M257</f>
        <v>0</v>
      </c>
      <c r="N259" s="2566"/>
      <c r="O259" s="1819"/>
      <c r="P259" s="2566">
        <f>P131+P137+P141+P149+P154+P159+P168+P186+P199+P205+P216+P227+P233+P240+P248+P257</f>
        <v>0</v>
      </c>
      <c r="Q259" s="2566"/>
      <c r="R259" s="1819"/>
      <c r="S259" s="2566">
        <f>S131+S137+S141+S149+S154+S159+S168+S186+S199+S205+S216+S227+S233+S240+S248+S257</f>
        <v>3916153</v>
      </c>
      <c r="T259" s="2566"/>
      <c r="U259" s="1819"/>
      <c r="V259" s="2664">
        <f>V131+V137+V141+V149+V154+V159+V168+V186+V199+V205+V216+V227+V233+V240+V248+V257</f>
        <v>0</v>
      </c>
    </row>
    <row r="260" spans="1:22">
      <c r="A260" s="1819"/>
      <c r="B260" s="1819"/>
      <c r="C260" s="2622"/>
      <c r="D260" s="1819"/>
      <c r="E260" s="1819"/>
      <c r="F260" s="1819"/>
      <c r="G260" s="1819"/>
      <c r="H260" s="2719"/>
      <c r="I260" s="2719"/>
      <c r="J260" s="1819"/>
      <c r="K260" s="1819"/>
      <c r="L260" s="1819"/>
      <c r="M260" s="1819"/>
      <c r="N260" s="1819"/>
      <c r="O260" s="1819"/>
      <c r="P260" s="1819"/>
      <c r="Q260" s="1819"/>
      <c r="R260" s="1819"/>
      <c r="S260" s="1819"/>
      <c r="T260" s="1819"/>
      <c r="U260" s="1819"/>
      <c r="V260" s="2664"/>
    </row>
    <row r="261" spans="1:22">
      <c r="A261" s="1819"/>
      <c r="B261" s="2722" t="s">
        <v>6960</v>
      </c>
      <c r="C261" s="2680"/>
      <c r="D261" s="2567">
        <f>IF('Part V-Revenues &amp; Expenses'!$P$67=0,0,G259/'Part V-Revenues &amp; Expenses'!$P$67)</f>
        <v>282255.73333333334</v>
      </c>
      <c r="E261" s="2567"/>
      <c r="F261" s="2694" t="s">
        <v>2487</v>
      </c>
      <c r="G261" s="2567">
        <f>IF('Part V-Revenues &amp; Expenses'!$K$175=0,0,G259/'Part V-Revenues &amp; Expenses'!$K$175)</f>
        <v>246.29645142524723</v>
      </c>
      <c r="H261" s="2567"/>
      <c r="I261" s="2718"/>
      <c r="J261" s="1819"/>
      <c r="K261" s="1819"/>
      <c r="L261" s="1819"/>
      <c r="M261" s="1819"/>
      <c r="N261" s="1819"/>
      <c r="O261" s="1819"/>
      <c r="P261" s="1819"/>
      <c r="Q261" s="1819"/>
      <c r="R261" s="1819"/>
      <c r="S261" s="1819"/>
      <c r="T261" s="1819"/>
      <c r="U261" s="1819"/>
      <c r="V261" s="2664"/>
    </row>
    <row r="262" spans="1:22">
      <c r="A262" s="1819"/>
      <c r="B262" s="2722"/>
      <c r="C262" s="2680"/>
      <c r="D262" s="2568"/>
      <c r="E262" s="2568"/>
      <c r="F262" s="2694"/>
      <c r="G262" s="2567"/>
      <c r="H262" s="2567"/>
      <c r="I262" s="2718"/>
      <c r="J262" s="1819"/>
      <c r="K262" s="1819"/>
      <c r="L262" s="1819"/>
      <c r="M262" s="1819"/>
      <c r="N262" s="1819"/>
      <c r="O262" s="1819"/>
      <c r="P262" s="1819"/>
      <c r="Q262" s="1819"/>
      <c r="R262" s="1819"/>
      <c r="S262" s="1819"/>
      <c r="T262" s="1819"/>
      <c r="U262" s="1819"/>
      <c r="V262" s="2664"/>
    </row>
    <row r="263" spans="1:22" ht="16.5" customHeight="1">
      <c r="A263" s="2661" t="s">
        <v>689</v>
      </c>
      <c r="B263" s="2723" t="s">
        <v>1341</v>
      </c>
      <c r="C263" s="2614"/>
      <c r="D263" s="2544"/>
      <c r="E263" s="2544"/>
      <c r="F263" s="2544"/>
      <c r="G263" s="1819"/>
      <c r="H263" s="1819"/>
      <c r="I263" s="2724"/>
      <c r="J263" s="2615" t="s">
        <v>259</v>
      </c>
      <c r="K263" s="2615"/>
      <c r="L263" s="1819"/>
      <c r="M263" s="2615" t="s">
        <v>94</v>
      </c>
      <c r="N263" s="2615"/>
      <c r="O263" s="1819"/>
      <c r="P263" s="2615" t="s">
        <v>260</v>
      </c>
      <c r="Q263" s="2615"/>
      <c r="R263" s="1819"/>
      <c r="S263" s="1819"/>
      <c r="T263" s="1819"/>
      <c r="U263" s="1819"/>
      <c r="V263" s="2664"/>
    </row>
    <row r="264" spans="1:22">
      <c r="A264" s="1819"/>
      <c r="B264" s="2623" t="s">
        <v>1894</v>
      </c>
      <c r="C264" s="1819"/>
      <c r="D264" s="2544"/>
      <c r="E264" s="2544"/>
      <c r="F264" s="1819"/>
      <c r="G264" s="1819"/>
      <c r="H264" s="1819"/>
      <c r="I264" s="2724"/>
      <c r="J264" s="2615"/>
      <c r="K264" s="2615"/>
      <c r="L264" s="2614"/>
      <c r="M264" s="2615"/>
      <c r="N264" s="2615"/>
      <c r="O264" s="1819"/>
      <c r="P264" s="2615"/>
      <c r="Q264" s="2615"/>
      <c r="R264" s="1819"/>
      <c r="S264" s="1819"/>
      <c r="T264" s="1819"/>
      <c r="U264" s="1819"/>
      <c r="V264" s="2664"/>
    </row>
    <row r="265" spans="1:22">
      <c r="A265" s="1819"/>
      <c r="B265" s="1819"/>
      <c r="C265" s="1819"/>
      <c r="D265" s="2622"/>
      <c r="E265" s="2622"/>
      <c r="F265" s="1819"/>
      <c r="G265" s="1819"/>
      <c r="H265" s="1819"/>
      <c r="I265" s="2719"/>
      <c r="J265" s="2719"/>
      <c r="K265" s="2565"/>
      <c r="L265" s="2622"/>
      <c r="M265" s="1819"/>
      <c r="N265" s="1819"/>
      <c r="O265" s="1819"/>
      <c r="P265" s="1819"/>
      <c r="Q265" s="1819"/>
      <c r="R265" s="1819"/>
      <c r="S265" s="1819"/>
      <c r="T265" s="1819"/>
      <c r="U265" s="1819"/>
      <c r="V265" s="2664"/>
    </row>
    <row r="266" spans="1:22">
      <c r="A266" s="1819"/>
      <c r="B266" s="2622" t="s">
        <v>138</v>
      </c>
      <c r="C266" s="1819"/>
      <c r="D266" s="1819"/>
      <c r="E266" s="1819"/>
      <c r="F266" s="1819"/>
      <c r="G266" s="1819"/>
      <c r="H266" s="1819"/>
      <c r="I266" s="2724"/>
      <c r="J266" s="2646">
        <f>'Part III-A-Uses of Funds'!J153</f>
        <v>0</v>
      </c>
      <c r="K266" s="2646"/>
      <c r="L266" s="1819"/>
      <c r="M266" s="1819"/>
      <c r="N266" s="1819"/>
      <c r="O266" s="1819"/>
      <c r="P266" s="2646">
        <f>'Part III-A-Uses of Funds'!P153</f>
        <v>0</v>
      </c>
      <c r="Q266" s="2646"/>
      <c r="R266" s="1819"/>
      <c r="S266" s="1819"/>
      <c r="T266" s="1819"/>
      <c r="U266" s="1819"/>
      <c r="V266" s="2664"/>
    </row>
    <row r="267" spans="1:22">
      <c r="A267" s="1819"/>
      <c r="B267" s="1819" t="s">
        <v>1998</v>
      </c>
      <c r="C267" s="1819"/>
      <c r="D267" s="1819"/>
      <c r="E267" s="1819"/>
      <c r="F267" s="1819"/>
      <c r="G267" s="1819"/>
      <c r="H267" s="1819"/>
      <c r="I267" s="2724"/>
      <c r="J267" s="2646">
        <f>'Part III-A-Uses of Funds'!J154</f>
        <v>0</v>
      </c>
      <c r="K267" s="2646"/>
      <c r="L267" s="1819"/>
      <c r="M267" s="1819"/>
      <c r="N267" s="1819"/>
      <c r="O267" s="1819"/>
      <c r="P267" s="2646">
        <f>'Part III-A-Uses of Funds'!P154</f>
        <v>0</v>
      </c>
      <c r="Q267" s="2646"/>
      <c r="R267" s="1819"/>
      <c r="S267" s="1819"/>
      <c r="T267" s="1819"/>
      <c r="U267" s="1819"/>
      <c r="V267" s="2664"/>
    </row>
    <row r="268" spans="1:22">
      <c r="A268" s="1819"/>
      <c r="B268" s="1819" t="s">
        <v>1727</v>
      </c>
      <c r="C268" s="1819"/>
      <c r="D268" s="1819"/>
      <c r="E268" s="1819"/>
      <c r="F268" s="1819"/>
      <c r="G268" s="1819"/>
      <c r="H268" s="1819"/>
      <c r="I268" s="2724"/>
      <c r="J268" s="2646">
        <f>'Part III-A-Uses of Funds'!J155</f>
        <v>0</v>
      </c>
      <c r="K268" s="2646"/>
      <c r="L268" s="1819"/>
      <c r="M268" s="1819"/>
      <c r="N268" s="1819"/>
      <c r="O268" s="1819"/>
      <c r="P268" s="2646">
        <f>'Part III-A-Uses of Funds'!P155</f>
        <v>0</v>
      </c>
      <c r="Q268" s="2646"/>
      <c r="R268" s="1819"/>
      <c r="S268" s="1819"/>
      <c r="T268" s="1819"/>
      <c r="U268" s="1819"/>
      <c r="V268" s="2664"/>
    </row>
    <row r="269" spans="1:22">
      <c r="A269" s="1819"/>
      <c r="B269" s="1819" t="s">
        <v>1728</v>
      </c>
      <c r="C269" s="1819"/>
      <c r="D269" s="1819"/>
      <c r="E269" s="1819"/>
      <c r="F269" s="1819"/>
      <c r="G269" s="1819"/>
      <c r="H269" s="1819"/>
      <c r="I269" s="2724"/>
      <c r="J269" s="2646">
        <f>'Part III-A-Uses of Funds'!J156</f>
        <v>0</v>
      </c>
      <c r="K269" s="2646"/>
      <c r="L269" s="1819"/>
      <c r="M269" s="1819"/>
      <c r="N269" s="1819"/>
      <c r="O269" s="1819"/>
      <c r="P269" s="2646">
        <f>'Part III-A-Uses of Funds'!P156</f>
        <v>0</v>
      </c>
      <c r="Q269" s="2646"/>
      <c r="R269" s="1819"/>
      <c r="S269" s="1819"/>
      <c r="T269" s="1819"/>
      <c r="U269" s="1819"/>
      <c r="V269" s="2664"/>
    </row>
    <row r="270" spans="1:22">
      <c r="A270" s="1819"/>
      <c r="B270" s="1819" t="s">
        <v>243</v>
      </c>
      <c r="C270" s="1819"/>
      <c r="D270" s="1819"/>
      <c r="E270" s="1819"/>
      <c r="F270" s="1819"/>
      <c r="G270" s="1819"/>
      <c r="H270" s="1819"/>
      <c r="I270" s="2724"/>
      <c r="J270" s="2646">
        <f>'Part III-A-Uses of Funds'!J157</f>
        <v>0</v>
      </c>
      <c r="K270" s="2646"/>
      <c r="L270" s="1819"/>
      <c r="M270" s="1819"/>
      <c r="N270" s="1819"/>
      <c r="O270" s="1819"/>
      <c r="P270" s="2646">
        <f>'Part III-A-Uses of Funds'!P157</f>
        <v>0</v>
      </c>
      <c r="Q270" s="2646"/>
      <c r="R270" s="1819"/>
      <c r="S270" s="1819"/>
      <c r="T270" s="1819"/>
      <c r="U270" s="1819"/>
      <c r="V270" s="2664"/>
    </row>
    <row r="271" spans="1:22" ht="13.5" customHeight="1">
      <c r="A271" s="1819"/>
      <c r="B271" s="1819" t="s">
        <v>1496</v>
      </c>
      <c r="C271" s="2644" t="str">
        <f>'Part III-A-Uses of Funds'!C158</f>
        <v>&lt;Enter detailed description here; use Comments section if needed&gt;</v>
      </c>
      <c r="D271" s="2644"/>
      <c r="E271" s="2644"/>
      <c r="F271" s="2644"/>
      <c r="G271" s="2644"/>
      <c r="H271" s="2644"/>
      <c r="I271" s="2644"/>
      <c r="J271" s="2646">
        <f>'Part III-A-Uses of Funds'!J158</f>
        <v>0</v>
      </c>
      <c r="K271" s="2646"/>
      <c r="L271" s="1819"/>
      <c r="M271" s="1819"/>
      <c r="N271" s="1819"/>
      <c r="O271" s="1819"/>
      <c r="P271" s="2646">
        <f>'Part III-A-Uses of Funds'!P158</f>
        <v>0</v>
      </c>
      <c r="Q271" s="2646"/>
      <c r="R271" s="1819"/>
      <c r="S271" s="1819"/>
      <c r="T271" s="1819"/>
      <c r="U271" s="1819"/>
      <c r="V271" s="2664"/>
    </row>
    <row r="272" spans="1:22">
      <c r="A272" s="1819"/>
      <c r="B272" s="2613" t="s">
        <v>1729</v>
      </c>
      <c r="C272" s="2725"/>
      <c r="D272" s="1819"/>
      <c r="E272" s="1819"/>
      <c r="F272" s="1819"/>
      <c r="G272" s="1819"/>
      <c r="H272" s="1819"/>
      <c r="I272" s="1819"/>
      <c r="J272" s="2646">
        <f>SUM(J266:K271)</f>
        <v>0</v>
      </c>
      <c r="K272" s="2646"/>
      <c r="L272" s="1819"/>
      <c r="M272" s="1819"/>
      <c r="N272" s="1819"/>
      <c r="O272" s="1819"/>
      <c r="P272" s="2646">
        <f>SUM(P266:Q271)</f>
        <v>0</v>
      </c>
      <c r="Q272" s="2646"/>
      <c r="R272" s="1819"/>
      <c r="S272" s="1819"/>
      <c r="T272" s="1819"/>
      <c r="U272" s="1819"/>
      <c r="V272" s="2664">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4"/>
    </row>
    <row r="274" spans="1:22">
      <c r="A274" s="1819"/>
      <c r="B274" s="2613"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4"/>
    </row>
    <row r="275" spans="1:22" ht="12.75" customHeight="1">
      <c r="A275" s="1819"/>
      <c r="B275" s="1819" t="s">
        <v>1665</v>
      </c>
      <c r="C275" s="1819"/>
      <c r="D275" s="1819"/>
      <c r="E275" s="1819"/>
      <c r="F275" s="1819"/>
      <c r="G275" s="1819"/>
      <c r="H275" s="1819"/>
      <c r="I275" s="1819"/>
      <c r="J275" s="2647">
        <f>J259</f>
        <v>21486863</v>
      </c>
      <c r="K275" s="2647"/>
      <c r="L275" s="1819"/>
      <c r="M275" s="2647">
        <f>M259</f>
        <v>0</v>
      </c>
      <c r="N275" s="2647"/>
      <c r="O275" s="1819"/>
      <c r="P275" s="2647">
        <f>P259</f>
        <v>0</v>
      </c>
      <c r="Q275" s="2647"/>
      <c r="R275" s="2726" t="s">
        <v>3773</v>
      </c>
      <c r="S275" s="2726"/>
      <c r="T275" s="2726"/>
      <c r="U275" s="1819"/>
      <c r="V275" s="2664"/>
    </row>
    <row r="276" spans="1:22">
      <c r="A276" s="1819"/>
      <c r="B276" s="1819" t="s">
        <v>2052</v>
      </c>
      <c r="C276" s="1819"/>
      <c r="D276" s="1819"/>
      <c r="E276" s="1819"/>
      <c r="F276" s="1819"/>
      <c r="G276" s="1819"/>
      <c r="H276" s="1819"/>
      <c r="I276" s="1819"/>
      <c r="J276" s="2647">
        <f>J272</f>
        <v>0</v>
      </c>
      <c r="K276" s="2647"/>
      <c r="L276" s="1819"/>
      <c r="M276" s="2647"/>
      <c r="N276" s="2647"/>
      <c r="O276" s="1819"/>
      <c r="P276" s="2647">
        <f>P272</f>
        <v>0</v>
      </c>
      <c r="Q276" s="2647"/>
      <c r="R276" s="2726"/>
      <c r="S276" s="2726"/>
      <c r="T276" s="2726"/>
      <c r="U276" s="2708"/>
      <c r="V276" s="2664"/>
    </row>
    <row r="277" spans="1:22">
      <c r="A277" s="1819"/>
      <c r="B277" s="1819" t="s">
        <v>2053</v>
      </c>
      <c r="C277" s="1819"/>
      <c r="D277" s="1819"/>
      <c r="E277" s="1819"/>
      <c r="F277" s="1819"/>
      <c r="G277" s="1819"/>
      <c r="H277" s="1819"/>
      <c r="I277" s="1819"/>
      <c r="J277" s="2647">
        <f>J275-J276</f>
        <v>21486863</v>
      </c>
      <c r="K277" s="2647"/>
      <c r="L277" s="1819"/>
      <c r="M277" s="2647">
        <f>M275</f>
        <v>0</v>
      </c>
      <c r="N277" s="2647"/>
      <c r="O277" s="1819"/>
      <c r="P277" s="2647">
        <f>P275-P276</f>
        <v>0</v>
      </c>
      <c r="Q277" s="2647"/>
      <c r="R277" s="2726"/>
      <c r="S277" s="2726"/>
      <c r="T277" s="2726"/>
      <c r="U277" s="2708"/>
      <c r="V277" s="2664"/>
    </row>
    <row r="278" spans="1:22" ht="89.25">
      <c r="A278" s="1819"/>
      <c r="B278" s="1819" t="s">
        <v>1390</v>
      </c>
      <c r="C278" s="1819"/>
      <c r="D278" s="1819"/>
      <c r="E278" s="1819"/>
      <c r="F278" s="1819"/>
      <c r="G278" s="1622" t="s">
        <v>1593</v>
      </c>
      <c r="H278" s="1819" t="str">
        <f>'Part III-A-Uses of Funds'!H165</f>
        <v>State Boost</v>
      </c>
      <c r="I278" s="1819"/>
      <c r="J278" s="2727">
        <f>'Part III-A-Uses of Funds'!J165</f>
        <v>1</v>
      </c>
      <c r="K278" s="2727"/>
      <c r="L278" s="1819"/>
      <c r="M278" s="2727"/>
      <c r="N278" s="2727"/>
      <c r="O278" s="1819"/>
      <c r="P278" s="2727">
        <f>'Part III-A-Uses of Funds'!P165</f>
        <v>0</v>
      </c>
      <c r="Q278" s="2727"/>
      <c r="R278" s="2708" t="str">
        <f>'Part III-A-Uses of Funds'!R165</f>
        <v>Multifamily projects in areas qualifying for 2+ Stable Communities pts</v>
      </c>
      <c r="S278" s="2708"/>
      <c r="T278" s="2708"/>
      <c r="U278" s="2644"/>
      <c r="V278" s="2664"/>
    </row>
    <row r="279" spans="1:22">
      <c r="A279" s="1819"/>
      <c r="B279" s="1819" t="s">
        <v>1903</v>
      </c>
      <c r="C279" s="1819"/>
      <c r="D279" s="1819"/>
      <c r="E279" s="1819"/>
      <c r="F279" s="1819"/>
      <c r="G279" s="1819"/>
      <c r="H279" s="1819"/>
      <c r="I279" s="1819"/>
      <c r="J279" s="2647">
        <f>J277*J278</f>
        <v>21486863</v>
      </c>
      <c r="K279" s="2647"/>
      <c r="L279" s="1819"/>
      <c r="M279" s="2647">
        <f>+M277</f>
        <v>0</v>
      </c>
      <c r="N279" s="2647"/>
      <c r="O279" s="1819"/>
      <c r="P279" s="2647">
        <f>P277*P278</f>
        <v>0</v>
      </c>
      <c r="Q279" s="2647"/>
      <c r="R279" s="2708"/>
      <c r="S279" s="2708"/>
      <c r="T279" s="2708"/>
      <c r="U279" s="2644"/>
      <c r="V279" s="2664"/>
    </row>
    <row r="280" spans="1:22">
      <c r="A280" s="1819"/>
      <c r="B280" s="1819" t="s">
        <v>2339</v>
      </c>
      <c r="C280" s="1819"/>
      <c r="D280" s="1819"/>
      <c r="E280" s="1819"/>
      <c r="F280" s="1819"/>
      <c r="G280" s="1819"/>
      <c r="H280" s="1819"/>
      <c r="I280" s="1819"/>
      <c r="J280" s="2728">
        <f>MIN('Part V-Revenues &amp; Expenses'!$P$63/'Part V-Revenues &amp; Expenses'!$P$65,'Part V-Revenues &amp; Expenses'!$P$164/'Part V-Revenues &amp; Expenses'!$P$166)</f>
        <v>0.88888888888888884</v>
      </c>
      <c r="K280" s="2728"/>
      <c r="L280" s="1819"/>
      <c r="M280" s="2728">
        <f>MIN('Part V-Revenues &amp; Expenses'!$P$63/'Part V-Revenues &amp; Expenses'!$P$65,'Part V-Revenues &amp; Expenses'!$P$164/'Part V-Revenues &amp; Expenses'!$P$166)</f>
        <v>0.88888888888888884</v>
      </c>
      <c r="N280" s="2728"/>
      <c r="O280" s="1819"/>
      <c r="P280" s="2728">
        <f>MIN('Part V-Revenues &amp; Expenses'!$P$63/'Part V-Revenues &amp; Expenses'!$P$65,'Part V-Revenues &amp; Expenses'!$P$164/'Part V-Revenues &amp; Expenses'!$P$166)</f>
        <v>0.88888888888888884</v>
      </c>
      <c r="Q280" s="2728"/>
      <c r="R280" s="2708"/>
      <c r="S280" s="2708"/>
      <c r="T280" s="2708"/>
      <c r="U280" s="1819"/>
      <c r="V280" s="2664"/>
    </row>
    <row r="281" spans="1:22">
      <c r="A281" s="1819"/>
      <c r="B281" s="1819" t="s">
        <v>1895</v>
      </c>
      <c r="C281" s="1819"/>
      <c r="D281" s="1819"/>
      <c r="E281" s="1819"/>
      <c r="F281" s="1819"/>
      <c r="G281" s="1819"/>
      <c r="H281" s="1819"/>
      <c r="I281" s="1819"/>
      <c r="J281" s="2647">
        <f>J279*J280</f>
        <v>19099433.777777776</v>
      </c>
      <c r="K281" s="2647"/>
      <c r="L281" s="1819"/>
      <c r="M281" s="2647">
        <f>M279*M280</f>
        <v>0</v>
      </c>
      <c r="N281" s="2647"/>
      <c r="O281" s="1819"/>
      <c r="P281" s="2647">
        <f>P279*P280</f>
        <v>0</v>
      </c>
      <c r="Q281" s="2647"/>
      <c r="R281" s="1819"/>
      <c r="S281" s="1819"/>
      <c r="T281" s="1819"/>
      <c r="U281" s="1819"/>
      <c r="V281" s="2664"/>
    </row>
    <row r="282" spans="1:22">
      <c r="A282" s="1819"/>
      <c r="B282" s="1819" t="s">
        <v>1896</v>
      </c>
      <c r="C282" s="1819"/>
      <c r="D282" s="1819"/>
      <c r="E282" s="1819"/>
      <c r="F282" s="1819"/>
      <c r="G282" s="1819"/>
      <c r="H282" s="1819"/>
      <c r="I282" s="1819"/>
      <c r="J282" s="2727">
        <f>'Part III-A-Uses of Funds'!J169</f>
        <v>0.09</v>
      </c>
      <c r="K282" s="2727"/>
      <c r="L282" s="1819"/>
      <c r="M282" s="2727">
        <f>'Part III-A-Uses of Funds'!M169</f>
        <v>0</v>
      </c>
      <c r="N282" s="2727"/>
      <c r="O282" s="1819"/>
      <c r="P282" s="2727">
        <f>'Part III-A-Uses of Funds'!P169</f>
        <v>0</v>
      </c>
      <c r="Q282" s="2727"/>
      <c r="R282" s="1819"/>
      <c r="S282" s="1819"/>
      <c r="T282" s="1819"/>
      <c r="U282" s="1819"/>
      <c r="V282" s="2664"/>
    </row>
    <row r="283" spans="1:22">
      <c r="A283" s="1819"/>
      <c r="B283" s="1819" t="s">
        <v>2340</v>
      </c>
      <c r="C283" s="1819"/>
      <c r="D283" s="1819"/>
      <c r="E283" s="1819"/>
      <c r="F283" s="1819"/>
      <c r="G283" s="1819"/>
      <c r="H283" s="1819"/>
      <c r="I283" s="1819"/>
      <c r="J283" s="2647">
        <f>J281*J282</f>
        <v>1718949.0399999998</v>
      </c>
      <c r="K283" s="2647"/>
      <c r="L283" s="1819"/>
      <c r="M283" s="2647">
        <f>M281*M282</f>
        <v>0</v>
      </c>
      <c r="N283" s="2647"/>
      <c r="O283" s="1819"/>
      <c r="P283" s="2647">
        <f>P281*P282</f>
        <v>0</v>
      </c>
      <c r="Q283" s="2647"/>
      <c r="R283" s="1819"/>
      <c r="S283" s="1819"/>
      <c r="T283" s="1819"/>
      <c r="U283" s="1819"/>
      <c r="V283" s="2664"/>
    </row>
    <row r="284" spans="1:22">
      <c r="A284" s="1819"/>
      <c r="B284" s="2613" t="s">
        <v>1339</v>
      </c>
      <c r="C284" s="1819"/>
      <c r="D284" s="1819"/>
      <c r="E284" s="1819"/>
      <c r="F284" s="1819"/>
      <c r="G284" s="1819"/>
      <c r="H284" s="1819"/>
      <c r="I284" s="1819"/>
      <c r="J284" s="2646">
        <f>ROUNDDOWN(J283+M283+P283,0)</f>
        <v>1718949</v>
      </c>
      <c r="K284" s="2646"/>
      <c r="L284" s="2646"/>
      <c r="M284" s="2646"/>
      <c r="N284" s="2646"/>
      <c r="O284" s="2646"/>
      <c r="P284" s="2646"/>
      <c r="Q284" s="2646"/>
      <c r="R284" s="1819"/>
      <c r="S284" s="1819"/>
      <c r="T284" s="1819"/>
      <c r="U284" s="1819"/>
      <c r="V284" s="2664"/>
    </row>
    <row r="285" spans="1:22">
      <c r="A285" s="1819"/>
      <c r="B285" s="2729"/>
      <c r="C285" s="1819"/>
      <c r="D285" s="1819"/>
      <c r="E285" s="1819"/>
      <c r="F285" s="1819"/>
      <c r="G285" s="1819"/>
      <c r="H285" s="1819"/>
      <c r="I285" s="1819"/>
      <c r="J285" s="1819"/>
      <c r="K285" s="1819"/>
      <c r="L285" s="2651"/>
      <c r="M285" s="2651"/>
      <c r="N285" s="2651"/>
      <c r="O285" s="2651"/>
      <c r="P285" s="1819"/>
      <c r="Q285" s="1819"/>
      <c r="R285" s="1819"/>
      <c r="S285" s="1819"/>
      <c r="T285" s="1819"/>
      <c r="U285" s="1819"/>
      <c r="V285" s="2664"/>
    </row>
    <row r="286" spans="1:22" ht="16.5">
      <c r="A286" s="2663" t="s">
        <v>691</v>
      </c>
      <c r="B286" s="2663" t="s">
        <v>1342</v>
      </c>
      <c r="C286" s="1819"/>
      <c r="D286" s="1819"/>
      <c r="E286" s="1819"/>
      <c r="F286" s="1819"/>
      <c r="G286" s="1819"/>
      <c r="H286" s="2719"/>
      <c r="I286" s="2719"/>
      <c r="J286" s="1819"/>
      <c r="K286" s="1819"/>
      <c r="L286" s="1819"/>
      <c r="M286" s="2730"/>
      <c r="N286" s="1819"/>
      <c r="O286" s="1819"/>
      <c r="P286" s="1819"/>
      <c r="Q286" s="1819"/>
      <c r="R286" s="1819"/>
      <c r="S286" s="1819"/>
      <c r="T286" s="1819"/>
      <c r="U286" s="1819"/>
      <c r="V286" s="2664"/>
    </row>
    <row r="287" spans="1:22">
      <c r="A287" s="1819"/>
      <c r="B287" s="1819"/>
      <c r="C287" s="1819"/>
      <c r="D287" s="1819"/>
      <c r="E287" s="1819"/>
      <c r="F287" s="1819"/>
      <c r="G287" s="1819"/>
      <c r="H287" s="2719"/>
      <c r="I287" s="2719"/>
      <c r="J287" s="1819"/>
      <c r="K287" s="1819"/>
      <c r="L287" s="1819"/>
      <c r="M287" s="2730"/>
      <c r="N287" s="1819"/>
      <c r="O287" s="2613"/>
      <c r="P287" s="2613"/>
      <c r="Q287" s="2613"/>
      <c r="R287" s="2613"/>
      <c r="S287" s="2613"/>
      <c r="T287" s="2613"/>
      <c r="U287" s="2613"/>
      <c r="V287" s="2613"/>
    </row>
    <row r="288" spans="1:22">
      <c r="A288" s="1819"/>
      <c r="B288" s="2613"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4"/>
    </row>
    <row r="289" spans="1:22" ht="12.75" customHeight="1">
      <c r="A289" s="1819"/>
      <c r="B289" s="1819" t="s">
        <v>6961</v>
      </c>
      <c r="C289" s="1819"/>
      <c r="D289" s="1819"/>
      <c r="E289" s="1819"/>
      <c r="F289" s="1819"/>
      <c r="G289" s="1819"/>
      <c r="H289" s="1819"/>
      <c r="I289" s="1819"/>
      <c r="J289" s="2647">
        <f>G259</f>
        <v>25403016</v>
      </c>
      <c r="K289" s="2647"/>
      <c r="L289" s="2647"/>
      <c r="M289" s="1819"/>
      <c r="N289" s="2726" t="s">
        <v>6716</v>
      </c>
      <c r="O289" s="2726"/>
      <c r="P289" s="2726"/>
      <c r="Q289" s="2726"/>
      <c r="R289" s="1819"/>
      <c r="S289" s="2708" t="s">
        <v>3187</v>
      </c>
      <c r="T289" s="2708"/>
      <c r="U289" s="1819"/>
      <c r="V289" s="2664"/>
    </row>
    <row r="290" spans="1:22">
      <c r="A290" s="1819"/>
      <c r="B290" s="1819" t="s">
        <v>252</v>
      </c>
      <c r="C290" s="1819"/>
      <c r="D290" s="1819"/>
      <c r="E290" s="1819"/>
      <c r="F290" s="1819"/>
      <c r="G290" s="1819"/>
      <c r="H290" s="1819"/>
      <c r="I290" s="1819"/>
      <c r="J290" s="2647">
        <f>'Part II-Sources of Funds'!$I$60-'Part II-Sources of Funds'!$I$44-'Part II-Sources of Funds'!$I$45-'Part II-Sources of Funds'!$I$51-'Part II-Sources of Funds'!$I$52</f>
        <v>7273800</v>
      </c>
      <c r="K290" s="2647"/>
      <c r="L290" s="2647"/>
      <c r="M290" s="2726"/>
      <c r="N290" s="2726"/>
      <c r="O290" s="2726"/>
      <c r="P290" s="2726"/>
      <c r="Q290" s="2726"/>
      <c r="R290" s="1819"/>
      <c r="S290" s="2708"/>
      <c r="T290" s="2708"/>
      <c r="U290" s="1819"/>
      <c r="V290" s="2664"/>
    </row>
    <row r="291" spans="1:22">
      <c r="A291" s="1819"/>
      <c r="B291" s="1819" t="s">
        <v>2064</v>
      </c>
      <c r="C291" s="1819"/>
      <c r="D291" s="1819"/>
      <c r="E291" s="1819"/>
      <c r="F291" s="1819"/>
      <c r="G291" s="1819"/>
      <c r="H291" s="1819"/>
      <c r="I291" s="1819"/>
      <c r="J291" s="2647">
        <f>+J289-J290</f>
        <v>18129216</v>
      </c>
      <c r="K291" s="2647"/>
      <c r="L291" s="2647"/>
      <c r="M291" s="2726"/>
      <c r="N291" s="2726"/>
      <c r="O291" s="2726"/>
      <c r="P291" s="2726"/>
      <c r="Q291" s="2726"/>
      <c r="R291" s="1819"/>
      <c r="S291" s="2708"/>
      <c r="T291" s="2708"/>
      <c r="U291" s="1819"/>
      <c r="V291" s="2664"/>
    </row>
    <row r="292" spans="1:22" ht="13.5">
      <c r="A292" s="1819"/>
      <c r="B292" s="1819" t="s">
        <v>1209</v>
      </c>
      <c r="C292" s="1819"/>
      <c r="D292" s="1819"/>
      <c r="E292" s="1819"/>
      <c r="F292" s="1819"/>
      <c r="G292" s="1819"/>
      <c r="H292" s="1819"/>
      <c r="I292" s="1819"/>
      <c r="J292" s="1819" t="str">
        <f>"/ 10"</f>
        <v>/ 10</v>
      </c>
      <c r="K292" s="1819"/>
      <c r="L292" s="1819"/>
      <c r="M292" s="2640"/>
      <c r="N292" s="2731">
        <f>'Part II-Sources of Funds'!$I$44</f>
        <v>0</v>
      </c>
      <c r="O292" s="2731"/>
      <c r="P292" s="2731"/>
      <c r="Q292" s="2731"/>
      <c r="R292" s="1819"/>
      <c r="S292" s="2643" t="s">
        <v>1548</v>
      </c>
      <c r="T292" s="2569" t="str">
        <f>'Part III-A-Uses of Funds'!T179</f>
        <v>No</v>
      </c>
      <c r="U292" s="1819"/>
      <c r="V292" s="2664"/>
    </row>
    <row r="293" spans="1:22" ht="13.5">
      <c r="A293" s="1819"/>
      <c r="B293" s="1819" t="s">
        <v>1210</v>
      </c>
      <c r="C293" s="1819"/>
      <c r="D293" s="1819"/>
      <c r="E293" s="1819"/>
      <c r="F293" s="1819"/>
      <c r="G293" s="1819"/>
      <c r="H293" s="1819"/>
      <c r="I293" s="1819"/>
      <c r="J293" s="2647">
        <f>J291/10</f>
        <v>1812921.6</v>
      </c>
      <c r="K293" s="2647"/>
      <c r="L293" s="2647"/>
      <c r="M293" s="1819"/>
      <c r="N293" s="2731"/>
      <c r="O293" s="2731"/>
      <c r="P293" s="2731"/>
      <c r="Q293" s="2731"/>
      <c r="R293" s="2731"/>
      <c r="S293" s="1819"/>
      <c r="T293" s="1819"/>
      <c r="U293" s="1819"/>
      <c r="V293" s="2664"/>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4"/>
    </row>
    <row r="295" spans="1:22">
      <c r="A295" s="1819"/>
      <c r="B295" s="1819" t="s">
        <v>6962</v>
      </c>
      <c r="C295" s="1819"/>
      <c r="D295" s="1819"/>
      <c r="E295" s="1819"/>
      <c r="F295" s="1819"/>
      <c r="G295" s="1819"/>
      <c r="H295" s="1819"/>
      <c r="I295" s="1819"/>
      <c r="J295" s="2732">
        <f>N295+Q295</f>
        <v>1.47</v>
      </c>
      <c r="K295" s="2732"/>
      <c r="L295" s="2732"/>
      <c r="M295" s="1622" t="s">
        <v>1212</v>
      </c>
      <c r="N295" s="2733">
        <f>'Part III-A-Uses of Funds'!N182</f>
        <v>0.89</v>
      </c>
      <c r="O295" s="2733"/>
      <c r="P295" s="1622" t="s">
        <v>570</v>
      </c>
      <c r="Q295" s="2733">
        <f>'Part III-A-Uses of Funds'!Q182</f>
        <v>0.57999999999999996</v>
      </c>
      <c r="R295" s="2733"/>
      <c r="S295" s="1819"/>
      <c r="T295" s="1819"/>
      <c r="U295" s="1819"/>
      <c r="V295" s="2664"/>
    </row>
    <row r="296" spans="1:22">
      <c r="A296" s="1819"/>
      <c r="B296" s="2613" t="s">
        <v>1340</v>
      </c>
      <c r="C296" s="1819"/>
      <c r="D296" s="1819"/>
      <c r="E296" s="1819"/>
      <c r="F296" s="1819"/>
      <c r="G296" s="1819"/>
      <c r="H296" s="1819"/>
      <c r="I296" s="1819"/>
      <c r="J296" s="2646">
        <f>ROUNDDOWN(IF(J295=0,"",J293/J295),0)</f>
        <v>1233280</v>
      </c>
      <c r="K296" s="2646"/>
      <c r="L296" s="2646"/>
      <c r="M296" s="378"/>
      <c r="N296" s="1819"/>
      <c r="O296" s="1819"/>
      <c r="P296" s="1819"/>
      <c r="Q296" s="1819"/>
      <c r="R296" s="1819"/>
      <c r="S296" s="1819"/>
      <c r="T296" s="1819"/>
      <c r="U296" s="1819"/>
      <c r="V296" s="2664"/>
    </row>
    <row r="297" spans="1:22">
      <c r="A297" s="1819"/>
      <c r="B297" s="1819"/>
      <c r="C297" s="1819"/>
      <c r="D297" s="1819"/>
      <c r="E297" s="1819"/>
      <c r="F297" s="1819"/>
      <c r="G297" s="1819"/>
      <c r="H297" s="1819"/>
      <c r="I297" s="1819"/>
      <c r="J297" s="2734"/>
      <c r="K297" s="2734"/>
      <c r="L297" s="2734"/>
      <c r="M297" s="378"/>
      <c r="N297" s="1622"/>
      <c r="O297" s="1622"/>
      <c r="P297" s="1819"/>
      <c r="Q297" s="1819"/>
      <c r="R297" s="1819"/>
      <c r="S297" s="1819"/>
      <c r="T297" s="1819"/>
      <c r="U297" s="1819"/>
      <c r="V297" s="2664"/>
    </row>
    <row r="298" spans="1:22" ht="16.5">
      <c r="A298" s="2663" t="s">
        <v>1666</v>
      </c>
      <c r="B298" s="2663" t="s">
        <v>3933</v>
      </c>
      <c r="C298" s="1819"/>
      <c r="D298" s="1819"/>
      <c r="E298" s="1819"/>
      <c r="F298" s="1819"/>
      <c r="G298" s="1819"/>
      <c r="H298" s="2719"/>
      <c r="I298" s="2719"/>
      <c r="J298" s="1819"/>
      <c r="K298" s="1819"/>
      <c r="L298" s="1819"/>
      <c r="M298" s="1819"/>
      <c r="N298" s="1819"/>
      <c r="O298" s="1819"/>
      <c r="P298" s="1819"/>
      <c r="Q298" s="1819"/>
      <c r="R298" s="1819"/>
      <c r="S298" s="1819"/>
      <c r="T298" s="1819"/>
      <c r="U298" s="1819"/>
      <c r="V298" s="2664"/>
    </row>
    <row r="299" spans="1:22">
      <c r="A299" s="1819"/>
      <c r="B299" s="1819"/>
      <c r="C299" s="1819"/>
      <c r="D299" s="1819"/>
      <c r="E299" s="1819"/>
      <c r="F299" s="1819"/>
      <c r="G299" s="1819"/>
      <c r="H299" s="2719"/>
      <c r="I299" s="2719"/>
      <c r="J299" s="1819"/>
      <c r="K299" s="1819"/>
      <c r="L299" s="1819"/>
      <c r="M299" s="1819"/>
      <c r="N299" s="1819"/>
      <c r="O299" s="1819"/>
      <c r="P299" s="1819"/>
      <c r="Q299" s="2674"/>
      <c r="R299" s="2674"/>
      <c r="S299" s="2735"/>
      <c r="T299" s="2735"/>
      <c r="U299" s="2613"/>
      <c r="V299" s="2613"/>
    </row>
    <row r="300" spans="1:22">
      <c r="A300" s="1819"/>
      <c r="B300" s="2613" t="s">
        <v>6963</v>
      </c>
      <c r="C300" s="1819"/>
      <c r="D300" s="1819"/>
      <c r="E300" s="1819"/>
      <c r="F300" s="1819"/>
      <c r="G300" s="1819"/>
      <c r="H300" s="1819"/>
      <c r="I300" s="1819"/>
      <c r="J300" s="2646">
        <f>'Part III-A-Uses of Funds'!J187</f>
        <v>1225000</v>
      </c>
      <c r="K300" s="2646"/>
      <c r="L300" s="2646"/>
      <c r="M300" s="1819"/>
      <c r="N300" s="1819"/>
      <c r="O300" s="1819"/>
      <c r="P300" s="1819"/>
      <c r="Q300" s="2621" t="s">
        <v>6247</v>
      </c>
      <c r="R300" s="2621"/>
      <c r="S300" s="2621" t="str">
        <f>'Part VIII Scoring Criteria'!$J$36</f>
        <v>Other Metro</v>
      </c>
      <c r="T300" s="2621"/>
      <c r="U300" s="1622" t="str">
        <f>IF(OR(S300="Atlanta Metro", "Other Metro"), "Metro", IF(S300="Rural","Rural",""))</f>
        <v/>
      </c>
      <c r="V300" s="2664"/>
    </row>
    <row r="301" spans="1:22">
      <c r="A301" s="1819"/>
      <c r="B301" s="1819"/>
      <c r="C301" s="1819"/>
      <c r="D301" s="1819"/>
      <c r="E301" s="1819"/>
      <c r="F301" s="1819"/>
      <c r="G301" s="1819"/>
      <c r="H301" s="1819"/>
      <c r="I301" s="1819"/>
      <c r="J301" s="2734"/>
      <c r="K301" s="2734"/>
      <c r="L301" s="2734"/>
      <c r="M301" s="378"/>
      <c r="N301" s="1622"/>
      <c r="O301" s="1622"/>
      <c r="P301" s="1819"/>
      <c r="Q301" s="2621"/>
      <c r="R301" s="2621"/>
      <c r="S301" s="2706"/>
      <c r="T301" s="2706"/>
      <c r="U301" s="1819"/>
      <c r="V301" s="2664"/>
    </row>
    <row r="302" spans="1:22">
      <c r="A302" s="1819"/>
      <c r="B302" s="2613" t="s">
        <v>6964</v>
      </c>
      <c r="C302" s="1819"/>
      <c r="D302" s="1819"/>
      <c r="E302" s="1819"/>
      <c r="F302" s="1819"/>
      <c r="G302" s="1819"/>
      <c r="H302" s="1819"/>
      <c r="I302" s="1819"/>
      <c r="J302" s="2646">
        <f>'Part III-A-Uses of Funds'!J189</f>
        <v>1225000</v>
      </c>
      <c r="K302" s="2646"/>
      <c r="L302" s="2646"/>
      <c r="M302" s="2736" t="str">
        <f>IF(J300=0,"",IF(J302&gt;J300,"Request can't exceed Maximum - REVISE (Try Round Down)!",""))</f>
        <v/>
      </c>
      <c r="N302" s="2736"/>
      <c r="O302" s="2736"/>
      <c r="P302" s="2736"/>
      <c r="Q302" s="2706" t="s">
        <v>6543</v>
      </c>
      <c r="R302" s="2621"/>
      <c r="S302" s="2621" t="str">
        <f>'Part VIII Scoring Criteria'!$F$36</f>
        <v>New Supply</v>
      </c>
      <c r="T302" s="2621"/>
      <c r="U302" s="1819"/>
      <c r="V302" s="2664"/>
    </row>
    <row r="303" spans="1:22">
      <c r="A303" s="1819"/>
      <c r="B303" s="1819"/>
      <c r="C303" s="1819"/>
      <c r="D303" s="1819"/>
      <c r="E303" s="1819"/>
      <c r="F303" s="1819"/>
      <c r="G303" s="1819"/>
      <c r="H303" s="1819"/>
      <c r="I303" s="1819"/>
      <c r="J303" s="2734"/>
      <c r="K303" s="2734"/>
      <c r="L303" s="2734"/>
      <c r="M303" s="2736"/>
      <c r="N303" s="2736"/>
      <c r="O303" s="2736"/>
      <c r="P303" s="2736"/>
      <c r="Q303" s="2621"/>
      <c r="R303" s="2621"/>
      <c r="S303" s="2706"/>
      <c r="T303" s="2706"/>
      <c r="U303" s="1819"/>
      <c r="V303" s="2664"/>
    </row>
    <row r="304" spans="1:22" ht="16.5">
      <c r="A304" s="2663"/>
      <c r="B304" s="2663" t="s">
        <v>6965</v>
      </c>
      <c r="C304" s="1819"/>
      <c r="D304" s="378"/>
      <c r="E304" s="378"/>
      <c r="F304" s="2622"/>
      <c r="G304" s="1819"/>
      <c r="H304" s="1819"/>
      <c r="I304" s="1819"/>
      <c r="J304" s="2646">
        <f>IF(J302="",0,+MIN(J300,J302))</f>
        <v>1225000</v>
      </c>
      <c r="K304" s="2646"/>
      <c r="L304" s="2646"/>
      <c r="M304" s="2736"/>
      <c r="N304" s="2736"/>
      <c r="O304" s="2736"/>
      <c r="P304" s="2736"/>
      <c r="Q304" s="403" t="s">
        <v>3925</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9"/>
      <c r="V304" s="2664"/>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3" t="s">
        <v>1668</v>
      </c>
      <c r="B307" s="377" t="s">
        <v>530</v>
      </c>
      <c r="C307" s="378"/>
      <c r="D307" s="378"/>
      <c r="E307" s="378"/>
      <c r="F307" s="378"/>
      <c r="G307" s="378"/>
      <c r="H307" s="378"/>
      <c r="I307" s="378"/>
      <c r="J307" s="378"/>
      <c r="K307" s="378"/>
      <c r="L307" s="378"/>
      <c r="M307" s="378"/>
      <c r="N307" s="2613" t="s">
        <v>496</v>
      </c>
      <c r="O307" s="2613" t="s">
        <v>74</v>
      </c>
      <c r="P307" s="378"/>
      <c r="Q307" s="378"/>
      <c r="R307" s="378"/>
      <c r="S307" s="378"/>
      <c r="T307" s="378"/>
      <c r="U307" s="378"/>
      <c r="V307" s="378"/>
    </row>
    <row r="308" spans="1:22" ht="13.5" customHeight="1">
      <c r="A308" s="2638" t="str">
        <f>'Part III-A-Uses of Funds'!A195</f>
        <v xml:space="preserve">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Clayton County.
Construction Interest is calculated based on having to stabilize and hold the property for six months before conversion. A Draw Schedule is provided in Folder 02 Feasibility.
Project selected State Basis Boost above (line 165) due to project qualifying for 2+ pts under Stable Communities, however we are not requesting a State Basis Boost in the basis calculation. 
 </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75">
      <c r="A314" s="2738" t="str">
        <f>CONCATENATE("PART THREE (B) -  OTHER COSTS","  -  ",'Part I-Project Identification'!$O$7," - ",'Part I-Project Identification'!$F$25,"  -  ",'Part I-Project Identification'!$F$26,"  -  ",'Part I-Project Identification'!$J$26,",  ","County")</f>
        <v>PART THREE (B) -  OTHER COSTS  -  2023-0 - Helix  -  Riverdale  -  Clayton,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3214</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6966</v>
      </c>
      <c r="B318" s="2740"/>
      <c r="C318" s="2740"/>
      <c r="D318" s="2740"/>
      <c r="E318" s="1077"/>
      <c r="F318" s="2741" t="s">
        <v>3206</v>
      </c>
      <c r="G318" s="2742"/>
      <c r="H318" s="2741" t="s">
        <v>3207</v>
      </c>
    </row>
    <row r="319" spans="1:22">
      <c r="A319" s="2742"/>
      <c r="B319" s="2742"/>
      <c r="C319" s="2742"/>
      <c r="D319" s="2742"/>
      <c r="E319" s="1077"/>
      <c r="F319" s="1077"/>
      <c r="G319" s="1077"/>
      <c r="H319" s="1077"/>
    </row>
    <row r="320" spans="1:22" ht="13.5">
      <c r="A320" s="2743"/>
      <c r="B320" s="2743"/>
      <c r="C320" s="2743"/>
      <c r="D320" s="2743"/>
      <c r="E320" s="2743"/>
      <c r="F320" s="2743"/>
      <c r="G320" s="2743"/>
      <c r="H320" s="2744"/>
    </row>
    <row r="321" spans="1:8">
      <c r="A321" s="2745" t="s">
        <v>96</v>
      </c>
      <c r="B321" s="2746"/>
      <c r="C321" s="2746"/>
      <c r="D321" s="2746"/>
      <c r="E321" s="2746"/>
      <c r="F321" s="2746"/>
      <c r="G321" s="2746"/>
      <c r="H321" s="2746"/>
    </row>
    <row r="322" spans="1:8" ht="13.5" customHeight="1">
      <c r="A322" s="2570" t="str">
        <f>'Part III-A-Uses of Funds'!$C$15</f>
        <v>Contruction Materials Testing</v>
      </c>
      <c r="B322" s="2570"/>
      <c r="C322" s="2570"/>
      <c r="D322" s="2570"/>
      <c r="E322" s="2744"/>
      <c r="F322" s="2571" t="str">
        <f>'Part III-B-Other Items'!F9</f>
        <v>Cost for 3rd party Construction Materials Testing not within the General Contractor's scope of work</v>
      </c>
      <c r="G322" s="2746"/>
      <c r="H322" s="2571" t="str">
        <f>'Part III-B-Other Items'!H9</f>
        <v>100% of the work is related to construction work.</v>
      </c>
    </row>
    <row r="323" spans="1:8" ht="13.5">
      <c r="A323" s="2570"/>
      <c r="B323" s="2570"/>
      <c r="C323" s="2570"/>
      <c r="D323" s="2570"/>
      <c r="E323" s="2744"/>
      <c r="F323" s="2571"/>
      <c r="G323" s="2746"/>
      <c r="H323" s="2571"/>
    </row>
    <row r="324" spans="1:8" ht="13.5">
      <c r="A324" s="2744"/>
      <c r="B324" s="2744"/>
      <c r="C324" s="2744"/>
      <c r="D324" s="2744"/>
      <c r="E324" s="2744"/>
      <c r="F324" s="2571"/>
      <c r="G324" s="2746"/>
      <c r="H324" s="2571"/>
    </row>
    <row r="325" spans="1:8" ht="13.5">
      <c r="A325" s="2747" t="s">
        <v>3209</v>
      </c>
      <c r="B325" s="2572">
        <f>'Part III-A-Uses of Funds'!$G$15</f>
        <v>105000</v>
      </c>
      <c r="C325" s="2747" t="s">
        <v>1665</v>
      </c>
      <c r="D325" s="2572">
        <f>'Part III-A-Uses of Funds'!$J$15+'Part III-A-Uses of Funds'!$M$15+'Part III-A-Uses of Funds'!$P$15</f>
        <v>105000</v>
      </c>
      <c r="E325" s="2744"/>
      <c r="F325" s="2571"/>
      <c r="G325" s="2746"/>
      <c r="H325" s="2571"/>
    </row>
    <row r="326" spans="1:8" ht="13.5">
      <c r="A326" s="2746"/>
      <c r="B326" s="2748"/>
      <c r="C326" s="2746"/>
      <c r="D326" s="2746"/>
      <c r="E326" s="2744"/>
      <c r="F326" s="2571"/>
      <c r="G326" s="2749"/>
      <c r="H326" s="2571"/>
    </row>
    <row r="327" spans="1:8" ht="13.5" customHeight="1">
      <c r="A327" s="2570" t="str">
        <f>'Part III-A-Uses of Funds'!$C$16</f>
        <v>NPDES Testing</v>
      </c>
      <c r="B327" s="2570"/>
      <c r="C327" s="2570"/>
      <c r="D327" s="2570"/>
      <c r="E327" s="2744"/>
      <c r="F327" s="2571" t="str">
        <f>'Part III-B-Other Items'!F14</f>
        <v>Cost for 3rd party NPDES (Erosion Control) Testing not within the General Contractor's scope of work</v>
      </c>
      <c r="G327" s="2746"/>
      <c r="H327" s="2571" t="str">
        <f>'Part III-B-Other Items'!H14</f>
        <v>100% of the work is related to construction work.</v>
      </c>
    </row>
    <row r="328" spans="1:8" ht="13.5">
      <c r="A328" s="2570"/>
      <c r="B328" s="2570"/>
      <c r="C328" s="2570"/>
      <c r="D328" s="2570"/>
      <c r="E328" s="2744"/>
      <c r="F328" s="2571"/>
      <c r="G328" s="2746"/>
      <c r="H328" s="2571"/>
    </row>
    <row r="329" spans="1:8" ht="13.5">
      <c r="A329" s="2744"/>
      <c r="B329" s="2744"/>
      <c r="C329" s="2744"/>
      <c r="D329" s="2744"/>
      <c r="E329" s="2744"/>
      <c r="F329" s="2571"/>
      <c r="G329" s="2746"/>
      <c r="H329" s="2571"/>
    </row>
    <row r="330" spans="1:8" ht="13.5">
      <c r="A330" s="2747" t="s">
        <v>3209</v>
      </c>
      <c r="B330" s="2572">
        <f>'Part III-A-Uses of Funds'!$G$16</f>
        <v>32000</v>
      </c>
      <c r="C330" s="2747" t="s">
        <v>1665</v>
      </c>
      <c r="D330" s="2572">
        <f>'Part III-A-Uses of Funds'!$J$16+'Part III-A-Uses of Funds'!$M$16+'Part III-A-Uses of Funds'!$P$16</f>
        <v>32000</v>
      </c>
      <c r="E330" s="2744"/>
      <c r="F330" s="2571"/>
      <c r="G330" s="2746"/>
      <c r="H330" s="2571"/>
    </row>
    <row r="331" spans="1:8" ht="13.5">
      <c r="A331" s="2746"/>
      <c r="B331" s="2748"/>
      <c r="C331" s="2746"/>
      <c r="D331" s="2746"/>
      <c r="E331" s="2744"/>
      <c r="F331" s="2571"/>
      <c r="G331" s="2749"/>
      <c r="H331" s="2571"/>
    </row>
    <row r="332" spans="1:8" ht="13.5" customHeight="1">
      <c r="A332" s="2570" t="str">
        <f>'Part III-A-Uses of Funds'!$C$17</f>
        <v>&lt;&lt; Enter description here; provide detail &amp; justification in tab Part III-b &gt;&gt;</v>
      </c>
      <c r="B332" s="2570"/>
      <c r="C332" s="2570"/>
      <c r="D332" s="2570"/>
      <c r="E332" s="2744"/>
      <c r="F332" s="2571">
        <f>'Part III-B-Other Items'!F19</f>
        <v>0</v>
      </c>
      <c r="G332" s="2746"/>
      <c r="H332" s="2571">
        <f>'Part III-B-Other Items'!H19</f>
        <v>0</v>
      </c>
    </row>
    <row r="333" spans="1:8" ht="13.5">
      <c r="A333" s="2570"/>
      <c r="B333" s="2570"/>
      <c r="C333" s="2570"/>
      <c r="D333" s="2570"/>
      <c r="E333" s="2744"/>
      <c r="F333" s="2571"/>
      <c r="G333" s="2746"/>
      <c r="H333" s="2571"/>
    </row>
    <row r="334" spans="1:8" ht="13.5">
      <c r="A334" s="2744"/>
      <c r="B334" s="2744"/>
      <c r="C334" s="2744"/>
      <c r="D334" s="2744"/>
      <c r="E334" s="2744"/>
      <c r="F334" s="2571"/>
      <c r="G334" s="2746"/>
      <c r="H334" s="2571"/>
    </row>
    <row r="335" spans="1:8" ht="13.5">
      <c r="A335" s="2747" t="s">
        <v>3209</v>
      </c>
      <c r="B335" s="2572">
        <f>'Part III-A-Uses of Funds'!$G$17</f>
        <v>0</v>
      </c>
      <c r="C335" s="2747" t="s">
        <v>1665</v>
      </c>
      <c r="D335" s="2572">
        <f>'Part III-A-Uses of Funds'!$J$17+'Part III-A-Uses of Funds'!$M$17+'Part III-A-Uses of Funds'!$P$17</f>
        <v>0</v>
      </c>
      <c r="E335" s="2744"/>
      <c r="F335" s="2571"/>
      <c r="G335" s="2746"/>
      <c r="H335" s="2571"/>
    </row>
    <row r="336" spans="1:8" ht="13.5">
      <c r="A336" s="2746"/>
      <c r="B336" s="2748"/>
      <c r="C336" s="2746"/>
      <c r="D336" s="2746"/>
      <c r="E336" s="2744"/>
      <c r="F336" s="2571"/>
      <c r="G336" s="2749"/>
      <c r="H336" s="2571"/>
    </row>
    <row r="337" spans="1:8" ht="13.5">
      <c r="A337" s="2745" t="s">
        <v>3208</v>
      </c>
      <c r="B337" s="2746"/>
      <c r="C337" s="2746"/>
      <c r="D337" s="2746"/>
      <c r="E337" s="2746"/>
      <c r="F337" s="2746"/>
      <c r="G337" s="2746"/>
      <c r="H337" s="2744"/>
    </row>
    <row r="338" spans="1:8" ht="12.75" customHeight="1">
      <c r="A338" s="2570" t="str">
        <f>'Part III-A-Uses of Funds'!$C$46</f>
        <v>Site Lighting</v>
      </c>
      <c r="B338" s="2570"/>
      <c r="C338" s="2570"/>
      <c r="D338" s="2570"/>
      <c r="E338" s="2746"/>
      <c r="F338" s="2571" t="str">
        <f>'Part III-B-Other Items'!F25</f>
        <v>Fee required for construction of site lighting.</v>
      </c>
      <c r="G338" s="2746"/>
      <c r="H338" s="2571" t="str">
        <f>'Part III-B-Other Items'!H25</f>
        <v>100% of the work is related to construction work.</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3209</v>
      </c>
      <c r="B341" s="2572">
        <f>'Part III-A-Uses of Funds'!$G$46</f>
        <v>20000</v>
      </c>
      <c r="C341" s="2747" t="s">
        <v>1665</v>
      </c>
      <c r="D341" s="2572">
        <f>'Part III-A-Uses of Funds'!$J$46+'Part III-A-Uses of Funds'!$M$46+'Part III-A-Uses of Funds'!$P$46</f>
        <v>20000</v>
      </c>
      <c r="E341" s="2746"/>
      <c r="F341" s="2571"/>
      <c r="G341" s="2746"/>
      <c r="H341" s="2571"/>
    </row>
    <row r="342" spans="1:8">
      <c r="A342" s="2746"/>
      <c r="B342" s="2748"/>
      <c r="C342" s="2746"/>
      <c r="D342" s="2746"/>
      <c r="E342" s="2746"/>
      <c r="F342" s="2571"/>
      <c r="G342" s="2749"/>
      <c r="H342" s="2571"/>
    </row>
    <row r="343" spans="1:8" ht="13.5">
      <c r="A343" s="2745" t="s">
        <v>675</v>
      </c>
      <c r="B343" s="2746"/>
      <c r="C343" s="2746"/>
      <c r="D343" s="2746"/>
      <c r="E343" s="2746"/>
      <c r="F343" s="2746"/>
      <c r="G343" s="2746"/>
      <c r="H343" s="2744"/>
    </row>
    <row r="344" spans="1:8" ht="12.75" customHeight="1">
      <c r="A344" s="2570" t="str">
        <f>'Part III-A-Uses of Funds'!$C$71</f>
        <v>&lt;&lt; Enter description here; provide detail &amp; justification in tab Part III-b &gt;&gt;</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3209</v>
      </c>
      <c r="B347" s="2572">
        <f>'Part III-A-Uses of Funds'!$G$71</f>
        <v>0</v>
      </c>
      <c r="C347" s="2747" t="s">
        <v>1665</v>
      </c>
      <c r="D347" s="2572">
        <f>'Part III-A-Uses of Funds'!$J$71+'Part III-A-Uses of Funds'!$M$71+'Part III-A-Uses of Funds'!$P$71</f>
        <v>0</v>
      </c>
      <c r="E347" s="2746"/>
      <c r="F347" s="2571"/>
      <c r="G347" s="2746"/>
      <c r="H347" s="2571"/>
    </row>
    <row r="348" spans="1:8" ht="13.5">
      <c r="A348" s="2744"/>
      <c r="B348" s="2744"/>
      <c r="C348" s="2744"/>
      <c r="D348" s="2746"/>
      <c r="E348" s="2746"/>
      <c r="F348" s="2571"/>
      <c r="G348" s="2749"/>
      <c r="H348" s="2571"/>
    </row>
    <row r="349" spans="1:8" ht="12.75" customHeight="1">
      <c r="A349" s="2570" t="str">
        <f>'Part III-A-Uses of Funds'!$C$72</f>
        <v>&lt;&lt; Enter description here; provide detail &amp; justification in tab Part III-b &gt;&gt;</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3209</v>
      </c>
      <c r="B352" s="2572">
        <f>'Part III-A-Uses of Funds'!$G$72</f>
        <v>0</v>
      </c>
      <c r="C352" s="2747" t="s">
        <v>1665</v>
      </c>
      <c r="D352" s="2572">
        <f>'Part III-A-Uses of Funds'!$J$72+'Part III-A-Uses of Funds'!$M$72+'Part III-A-Uses of Funds'!$P$72</f>
        <v>0</v>
      </c>
      <c r="E352" s="2746"/>
      <c r="F352" s="2571"/>
      <c r="G352" s="2746"/>
      <c r="H352" s="2571"/>
    </row>
    <row r="353" spans="1:8" ht="13.5">
      <c r="A353" s="2744"/>
      <c r="B353" s="2744"/>
      <c r="C353" s="2744"/>
      <c r="D353" s="2746"/>
      <c r="E353" s="2746"/>
      <c r="F353" s="2571"/>
      <c r="G353" s="2749"/>
      <c r="H353" s="2571"/>
    </row>
    <row r="354" spans="1:8" ht="13.5">
      <c r="A354" s="2745" t="s">
        <v>449</v>
      </c>
      <c r="B354" s="2746"/>
      <c r="C354" s="2746"/>
      <c r="D354" s="2746"/>
      <c r="E354" s="2573"/>
      <c r="F354" s="2573"/>
      <c r="G354" s="2746"/>
      <c r="H354" s="2744"/>
    </row>
    <row r="355" spans="1:8" ht="13.5" customHeight="1">
      <c r="A355" s="2570" t="str">
        <f>'Part III-A-Uses of Funds'!$C$85</f>
        <v>Radon Design and Testing</v>
      </c>
      <c r="B355" s="2570"/>
      <c r="C355" s="2570"/>
      <c r="D355" s="2570"/>
      <c r="E355" s="2744"/>
      <c r="F355" s="2571" t="str">
        <f>'Part III-B-Other Items'!F42</f>
        <v>Radon Testing to be performed at construction complettion as requirement of investor</v>
      </c>
      <c r="G355" s="2746"/>
      <c r="H355" s="2571" t="str">
        <f>'Part III-B-Other Items'!H42</f>
        <v>100% of the work is related to construction work.</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3209</v>
      </c>
      <c r="B358" s="2572">
        <f>'Part III-A-Uses of Funds'!$G$85</f>
        <v>6500</v>
      </c>
      <c r="C358" s="2747" t="s">
        <v>1665</v>
      </c>
      <c r="D358" s="2572">
        <f>'Part III-A-Uses of Funds'!$J$85+'Part III-A-Uses of Funds'!$M$85+'Part III-A-Uses of Funds'!$P$85</f>
        <v>6500</v>
      </c>
      <c r="E358" s="2746"/>
      <c r="F358" s="2571"/>
      <c r="G358" s="2746"/>
      <c r="H358" s="2571"/>
    </row>
    <row r="359" spans="1:8">
      <c r="A359" s="2746"/>
      <c r="B359" s="2748"/>
      <c r="C359" s="2746"/>
      <c r="D359" s="2746"/>
      <c r="E359" s="2746"/>
      <c r="F359" s="2571"/>
      <c r="G359" s="2749"/>
      <c r="H359" s="2571"/>
    </row>
    <row r="360" spans="1:8" ht="13.5">
      <c r="A360" s="2745" t="s">
        <v>677</v>
      </c>
      <c r="B360" s="2746"/>
      <c r="C360" s="2746"/>
      <c r="D360" s="2746"/>
      <c r="E360" s="2746"/>
      <c r="F360" s="2746"/>
      <c r="G360" s="2746"/>
      <c r="H360" s="2744"/>
    </row>
    <row r="361" spans="1:8" ht="13.5" customHeight="1">
      <c r="A361" s="2570" t="str">
        <f>'Part III-A-Uses of Funds'!$C$102</f>
        <v>&lt;&lt; Enter description here; provide detail &amp; justification in tab Part III-b &gt;&gt;</v>
      </c>
      <c r="B361" s="2570"/>
      <c r="C361" s="2570"/>
      <c r="D361" s="2570"/>
      <c r="E361" s="2744"/>
      <c r="F361" s="2571">
        <f>'Part III-B-Other Items'!F48</f>
        <v>0</v>
      </c>
      <c r="G361" s="2746"/>
      <c r="H361" s="2744"/>
    </row>
    <row r="362" spans="1:8" ht="13.5">
      <c r="A362" s="2570"/>
      <c r="B362" s="2570"/>
      <c r="C362" s="2570"/>
      <c r="D362" s="2570"/>
      <c r="E362" s="2746"/>
      <c r="F362" s="2571"/>
      <c r="G362" s="2746"/>
      <c r="H362" s="2744"/>
    </row>
    <row r="363" spans="1:8" ht="13.5">
      <c r="A363" s="2746"/>
      <c r="B363" s="2746"/>
      <c r="C363" s="2746"/>
      <c r="D363" s="2746"/>
      <c r="E363" s="2746"/>
      <c r="F363" s="2571"/>
      <c r="G363" s="2746"/>
      <c r="H363" s="2744"/>
    </row>
    <row r="364" spans="1:8" ht="13.5">
      <c r="A364" s="2747" t="s">
        <v>3209</v>
      </c>
      <c r="B364" s="2572">
        <f>'Part III-A-Uses of Funds'!$G$102</f>
        <v>0</v>
      </c>
      <c r="C364" s="2750"/>
      <c r="D364" s="2750"/>
      <c r="E364" s="2746"/>
      <c r="F364" s="2571"/>
      <c r="G364" s="2746"/>
      <c r="H364" s="2744"/>
    </row>
    <row r="365" spans="1:8" ht="13.5">
      <c r="A365" s="2746"/>
      <c r="B365" s="2746"/>
      <c r="C365" s="2746"/>
      <c r="D365" s="2746"/>
      <c r="E365" s="2746"/>
      <c r="F365" s="2571"/>
      <c r="G365" s="2749"/>
      <c r="H365" s="2744"/>
    </row>
    <row r="366" spans="1:8" ht="13.5">
      <c r="A366" s="2745" t="s">
        <v>6967</v>
      </c>
      <c r="B366" s="2746"/>
      <c r="C366" s="2746"/>
      <c r="D366" s="2746"/>
      <c r="E366" s="2746"/>
      <c r="F366" s="2746"/>
      <c r="G366" s="2746"/>
      <c r="H366" s="2744"/>
    </row>
    <row r="367" spans="1:8" ht="13.5" customHeight="1">
      <c r="A367" s="2570" t="str">
        <f>'Part III-A-Uses of Funds'!$C$112</f>
        <v>&lt;&lt; Enter description here; provide detail &amp; justification in tab Part III-b &gt;&gt;</v>
      </c>
      <c r="B367" s="2570"/>
      <c r="C367" s="2570"/>
      <c r="D367" s="2570"/>
      <c r="E367" s="2744"/>
      <c r="F367" s="2571">
        <f>'Part III-B-Other Items'!F54</f>
        <v>0</v>
      </c>
      <c r="G367" s="2746"/>
      <c r="H367" s="2744"/>
    </row>
    <row r="368" spans="1:8" ht="13.5">
      <c r="A368" s="2570"/>
      <c r="B368" s="2570"/>
      <c r="C368" s="2570"/>
      <c r="D368" s="2570"/>
      <c r="E368" s="2746"/>
      <c r="F368" s="2571"/>
      <c r="G368" s="2746"/>
      <c r="H368" s="2744"/>
    </row>
    <row r="369" spans="1:8" ht="13.5">
      <c r="A369" s="2746"/>
      <c r="B369" s="2746"/>
      <c r="C369" s="2746"/>
      <c r="D369" s="2746"/>
      <c r="E369" s="2746"/>
      <c r="F369" s="2571"/>
      <c r="G369" s="2746"/>
      <c r="H369" s="2744"/>
    </row>
    <row r="370" spans="1:8" ht="13.5">
      <c r="A370" s="2747" t="s">
        <v>3209</v>
      </c>
      <c r="B370" s="2572">
        <f>'Part III-A-Uses of Funds'!$G$112</f>
        <v>0</v>
      </c>
      <c r="C370" s="2750"/>
      <c r="D370" s="2750"/>
      <c r="E370" s="2746"/>
      <c r="F370" s="2571"/>
      <c r="G370" s="2746"/>
      <c r="H370" s="2744"/>
    </row>
    <row r="371" spans="1:8" ht="13.5">
      <c r="A371" s="2743"/>
      <c r="B371" s="2743"/>
      <c r="C371" s="2743"/>
      <c r="D371" s="2743"/>
      <c r="E371" s="2743"/>
      <c r="F371" s="2571"/>
      <c r="G371" s="2749"/>
      <c r="H371" s="2744"/>
    </row>
    <row r="372" spans="1:8" ht="13.5" customHeight="1">
      <c r="A372" s="2570" t="str">
        <f>'Part III-A-Uses of Funds'!$C$113</f>
        <v>&lt;&lt; Enter description here; provide detail &amp; justification in tab Part III-b &gt;&gt;</v>
      </c>
      <c r="B372" s="2570"/>
      <c r="C372" s="2570"/>
      <c r="D372" s="2570"/>
      <c r="E372" s="2744"/>
      <c r="F372" s="2571">
        <f>'Part III-B-Other Items'!F59</f>
        <v>0</v>
      </c>
      <c r="G372" s="2746"/>
      <c r="H372" s="2744"/>
    </row>
    <row r="373" spans="1:8" ht="13.5">
      <c r="A373" s="2570"/>
      <c r="B373" s="2570"/>
      <c r="C373" s="2570"/>
      <c r="D373" s="2570"/>
      <c r="E373" s="2746"/>
      <c r="F373" s="2571"/>
      <c r="G373" s="2746"/>
      <c r="H373" s="2744"/>
    </row>
    <row r="374" spans="1:8" ht="13.5">
      <c r="A374" s="2746"/>
      <c r="B374" s="2746"/>
      <c r="C374" s="2746"/>
      <c r="D374" s="2746"/>
      <c r="E374" s="2746"/>
      <c r="F374" s="2571"/>
      <c r="G374" s="2746"/>
      <c r="H374" s="2744"/>
    </row>
    <row r="375" spans="1:8" ht="13.5">
      <c r="A375" s="2747" t="s">
        <v>3209</v>
      </c>
      <c r="B375" s="2572">
        <f>'Part III-A-Uses of Funds'!$G$113</f>
        <v>0</v>
      </c>
      <c r="C375" s="2750"/>
      <c r="D375" s="2750"/>
      <c r="E375" s="2746"/>
      <c r="F375" s="2571"/>
      <c r="G375" s="2746"/>
      <c r="H375" s="2744"/>
    </row>
    <row r="376" spans="1:8" ht="13.5">
      <c r="A376" s="2743"/>
      <c r="B376" s="2743"/>
      <c r="C376" s="2743"/>
      <c r="D376" s="2743"/>
      <c r="E376" s="2743"/>
      <c r="F376" s="2571"/>
      <c r="G376" s="2749"/>
      <c r="H376" s="2744"/>
    </row>
    <row r="377" spans="1:8" ht="13.5">
      <c r="A377" s="2745" t="s">
        <v>6968</v>
      </c>
      <c r="B377" s="2746"/>
      <c r="C377" s="2746"/>
      <c r="D377" s="2746"/>
      <c r="E377" s="2746"/>
      <c r="F377" s="2746"/>
      <c r="G377" s="2746"/>
      <c r="H377" s="2744"/>
    </row>
    <row r="378" spans="1:8" ht="13.5" customHeight="1">
      <c r="A378" s="2570" t="str">
        <f>'Part III-A-Uses of Funds'!$C$119</f>
        <v>&lt;&lt; Enter description here; provide detail &amp; justification in tab Part III-b &gt;&gt;</v>
      </c>
      <c r="B378" s="2570"/>
      <c r="C378" s="2570"/>
      <c r="D378" s="2570"/>
      <c r="E378" s="2744"/>
      <c r="F378" s="2571">
        <f>'Part III-B-Other Items'!F65</f>
        <v>0</v>
      </c>
      <c r="G378" s="2746"/>
      <c r="H378" s="2744"/>
    </row>
    <row r="379" spans="1:8" ht="13.5">
      <c r="A379" s="2570"/>
      <c r="B379" s="2570"/>
      <c r="C379" s="2570"/>
      <c r="D379" s="2570"/>
      <c r="E379" s="2746"/>
      <c r="F379" s="2571"/>
      <c r="G379" s="2746"/>
      <c r="H379" s="2744"/>
    </row>
    <row r="380" spans="1:8" ht="13.5">
      <c r="A380" s="2746"/>
      <c r="B380" s="2746"/>
      <c r="C380" s="2746"/>
      <c r="D380" s="2746"/>
      <c r="E380" s="2746"/>
      <c r="F380" s="2571"/>
      <c r="G380" s="2746"/>
      <c r="H380" s="2744"/>
    </row>
    <row r="381" spans="1:8" ht="13.5">
      <c r="A381" s="2747" t="s">
        <v>3209</v>
      </c>
      <c r="B381" s="2572">
        <f>'Part III-A-Uses of Funds'!$G$119</f>
        <v>0</v>
      </c>
      <c r="C381" s="2750"/>
      <c r="D381" s="2750"/>
      <c r="E381" s="2746"/>
      <c r="F381" s="2571"/>
      <c r="G381" s="2746"/>
      <c r="H381" s="2744"/>
    </row>
    <row r="382" spans="1:8" ht="13.5">
      <c r="A382" s="2746"/>
      <c r="B382" s="2748"/>
      <c r="C382" s="2746"/>
      <c r="D382" s="2746"/>
      <c r="E382" s="2746"/>
      <c r="F382" s="2571"/>
      <c r="G382" s="2749"/>
      <c r="H382" s="2744"/>
    </row>
    <row r="383" spans="1:8" ht="13.5">
      <c r="A383" s="2745" t="s">
        <v>1231</v>
      </c>
      <c r="B383" s="2746"/>
      <c r="C383" s="2746"/>
      <c r="D383" s="2746"/>
      <c r="E383" s="2746"/>
      <c r="F383" s="2746"/>
      <c r="G383" s="2746"/>
      <c r="H383" s="2744"/>
    </row>
    <row r="384" spans="1:8" ht="13.5" customHeight="1">
      <c r="A384" s="2570" t="str">
        <f>'Part III-A-Uses of Funds'!$C$134</f>
        <v>Taxes and Insurance Escrow</v>
      </c>
      <c r="B384" s="2570"/>
      <c r="C384" s="2570"/>
      <c r="D384" s="2570"/>
      <c r="E384" s="2744"/>
      <c r="F384" s="2571" t="str">
        <f>'Part III-B-Other Items'!F71</f>
        <v>First Year tax and insurance reserve is a requirement of our investors.</v>
      </c>
      <c r="G384" s="2746"/>
      <c r="H384" s="2571" t="str">
        <f>'Part III-B-Other Items'!H71</f>
        <v>This item is not in basis.</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3209</v>
      </c>
      <c r="B387" s="2572">
        <f>'Part III-A-Uses of Funds'!$G$134</f>
        <v>60000</v>
      </c>
      <c r="C387" s="2747" t="s">
        <v>1665</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ht="13.5">
      <c r="A389" s="2745" t="s">
        <v>6969</v>
      </c>
      <c r="B389" s="2748"/>
      <c r="C389" s="2746"/>
      <c r="D389" s="2746"/>
      <c r="E389" s="2746"/>
      <c r="F389" s="2746"/>
      <c r="G389" s="2749"/>
      <c r="H389" s="2744"/>
    </row>
    <row r="390" spans="1:13" ht="13.5" customHeight="1">
      <c r="A390" s="2570" t="str">
        <f>'Part III-A-Uses of Funds'!$C$143</f>
        <v>&lt;&lt; Enter description here; provide detail &amp; justification in tab Part III-b &gt;&gt;</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3209</v>
      </c>
      <c r="B393" s="2572">
        <f>'Part III-A-Uses of Funds'!$G$143</f>
        <v>0</v>
      </c>
      <c r="C393" s="2747" t="s">
        <v>1665</v>
      </c>
      <c r="D393" s="2572">
        <f>'Part III-A-Uses of Funds'!$J$143+'Part III-A-Uses of Funds'!$M$143+'Part III-A-Uses of Funds'!$P$143</f>
        <v>0</v>
      </c>
      <c r="E393" s="2746"/>
      <c r="F393" s="2571"/>
      <c r="G393" s="2746"/>
      <c r="H393" s="2571"/>
    </row>
    <row r="394" spans="1:13" ht="13.5">
      <c r="A394" s="2744"/>
      <c r="B394" s="2744"/>
      <c r="C394" s="2744"/>
      <c r="D394" s="2746"/>
      <c r="E394" s="2572"/>
      <c r="F394" s="2571"/>
      <c r="G394" s="2749"/>
      <c r="H394" s="2571"/>
    </row>
    <row r="399" spans="1:13">
      <c r="A399" s="1747" t="str">
        <f>CONCATENATE("PART FOUR - UTILITY ALLOWANCES","  -  ",'Part I-Project Identification'!$O$7," ",'Part I-Project Identification'!$F$25,", ",'Part I-Project Identification'!F428,", ",'Part I-Project Identification'!J428," County")</f>
        <v>PART FOUR - UTILITY ALLOWANCES  -  2023-0 Helix, ,  County</v>
      </c>
      <c r="B399" s="1747"/>
      <c r="C399" s="1747"/>
      <c r="D399" s="1747"/>
      <c r="E399" s="1747"/>
      <c r="F399" s="1747"/>
      <c r="G399" s="1747"/>
      <c r="H399" s="1747"/>
      <c r="I399" s="1747"/>
      <c r="J399" s="1747"/>
      <c r="K399" s="1747"/>
      <c r="L399" s="1747"/>
      <c r="M399" s="1747"/>
    </row>
    <row r="401" spans="1:13">
      <c r="B401" s="2751" t="str">
        <f>'Part I-Project Identification'!$A$6</f>
        <v>April 2023</v>
      </c>
      <c r="C401" s="2751"/>
      <c r="D401" s="2751"/>
      <c r="E401" s="2751"/>
      <c r="F401" s="1747" t="s">
        <v>6737</v>
      </c>
      <c r="I401" s="2752" t="str">
        <f>'Part IV-Utility Allowances'!I3</f>
        <v>Local PHA</v>
      </c>
    </row>
    <row r="403" spans="1:13">
      <c r="A403" s="2753" t="s">
        <v>6970</v>
      </c>
    </row>
    <row r="405" spans="1:13" ht="25.5">
      <c r="A405" s="361" t="s">
        <v>573</v>
      </c>
      <c r="B405" s="361" t="s">
        <v>2059</v>
      </c>
      <c r="F405" s="359" t="s">
        <v>2317</v>
      </c>
      <c r="G405" s="359"/>
      <c r="H405" s="359"/>
      <c r="I405" s="2620" t="str">
        <f>'Part IV-Utility Allowances'!I7</f>
        <v>DCA - HUD Utility Model</v>
      </c>
      <c r="J405" s="2620"/>
      <c r="K405" s="2620"/>
      <c r="L405" s="2620"/>
      <c r="M405" s="2620"/>
    </row>
    <row r="406" spans="1:13">
      <c r="A406" s="361"/>
      <c r="F406" s="359" t="s">
        <v>593</v>
      </c>
      <c r="G406" s="359"/>
      <c r="H406" s="359"/>
      <c r="I406" s="2754">
        <f>'Part IV-Utility Allowances'!I8</f>
        <v>44927</v>
      </c>
      <c r="J406" s="2754"/>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5" t="str">
        <f>'Part IV-Utility Allowances'!F12</f>
        <v>X</v>
      </c>
      <c r="G410" s="2755">
        <f>'Part IV-Utility Allowances'!G12</f>
        <v>0</v>
      </c>
      <c r="I410" s="1894">
        <f>'Part IV-Utility Allowances'!I12</f>
        <v>0</v>
      </c>
      <c r="J410" s="1894">
        <f>'Part IV-Utility Allowances'!J12</f>
        <v>9</v>
      </c>
      <c r="K410" s="1894">
        <f>'Part IV-Utility Allowances'!K12</f>
        <v>12</v>
      </c>
      <c r="L410" s="1894">
        <f>'Part IV-Utility Allowances'!L12</f>
        <v>0</v>
      </c>
      <c r="M410" s="1894">
        <f>'Part IV-Utility Allowances'!M12</f>
        <v>0</v>
      </c>
    </row>
    <row r="411" spans="1:13">
      <c r="B411" s="359" t="s">
        <v>1492</v>
      </c>
      <c r="C411" s="359"/>
      <c r="D411" s="359" t="str">
        <f>'Part IV-Utility Allowances'!D13</f>
        <v>Electric</v>
      </c>
      <c r="E411" s="359"/>
      <c r="F411" s="2755" t="str">
        <f>'Part IV-Utility Allowances'!F13</f>
        <v>X</v>
      </c>
      <c r="G411" s="2755">
        <f>'Part IV-Utility Allowances'!G13</f>
        <v>0</v>
      </c>
      <c r="I411" s="1894">
        <f>'Part IV-Utility Allowances'!I13</f>
        <v>0</v>
      </c>
      <c r="J411" s="1894">
        <f>'Part IV-Utility Allowances'!J13</f>
        <v>8</v>
      </c>
      <c r="K411" s="1894">
        <f>'Part IV-Utility Allowances'!K13</f>
        <v>10</v>
      </c>
      <c r="L411" s="1894">
        <f>'Part IV-Utility Allowances'!L13</f>
        <v>0</v>
      </c>
      <c r="M411" s="1894">
        <f>'Part IV-Utility Allowances'!M13</f>
        <v>0</v>
      </c>
    </row>
    <row r="412" spans="1:13">
      <c r="B412" s="359" t="s">
        <v>1493</v>
      </c>
      <c r="C412" s="359"/>
      <c r="D412" s="359" t="str">
        <f>'Part IV-Utility Allowances'!D14</f>
        <v>Electric</v>
      </c>
      <c r="E412" s="359"/>
      <c r="F412" s="2755" t="str">
        <f>'Part IV-Utility Allowances'!F14</f>
        <v>X</v>
      </c>
      <c r="G412" s="2755">
        <f>'Part IV-Utility Allowances'!G14</f>
        <v>0</v>
      </c>
      <c r="I412" s="1894">
        <f>'Part IV-Utility Allowances'!I14</f>
        <v>0</v>
      </c>
      <c r="J412" s="1894">
        <f>'Part IV-Utility Allowances'!J14</f>
        <v>14</v>
      </c>
      <c r="K412" s="1894">
        <f>'Part IV-Utility Allowances'!K14</f>
        <v>20</v>
      </c>
      <c r="L412" s="1894">
        <f>'Part IV-Utility Allowances'!L14</f>
        <v>0</v>
      </c>
      <c r="M412" s="1894">
        <f>'Part IV-Utility Allowances'!M14</f>
        <v>0</v>
      </c>
    </row>
    <row r="413" spans="1:13">
      <c r="B413" s="359" t="s">
        <v>440</v>
      </c>
      <c r="C413" s="359"/>
      <c r="D413" s="359" t="s">
        <v>1491</v>
      </c>
      <c r="F413" s="2755" t="str">
        <f>'Part IV-Utility Allowances'!F15</f>
        <v>X</v>
      </c>
      <c r="G413" s="2755">
        <f>'Part IV-Utility Allowances'!G15</f>
        <v>0</v>
      </c>
      <c r="I413" s="1894">
        <f>'Part IV-Utility Allowances'!I15</f>
        <v>0</v>
      </c>
      <c r="J413" s="1894">
        <f>'Part IV-Utility Allowances'!J15</f>
        <v>7</v>
      </c>
      <c r="K413" s="1894">
        <f>'Part IV-Utility Allowances'!K15</f>
        <v>10</v>
      </c>
      <c r="L413" s="1894">
        <f>'Part IV-Utility Allowances'!L15</f>
        <v>0</v>
      </c>
      <c r="M413" s="1894">
        <f>'Part IV-Utility Allowances'!M15</f>
        <v>0</v>
      </c>
    </row>
    <row r="414" spans="1:13">
      <c r="B414" s="359" t="s">
        <v>3269</v>
      </c>
      <c r="C414" s="359"/>
      <c r="D414" s="359" t="s">
        <v>1491</v>
      </c>
      <c r="F414" s="2755">
        <f>'Part IV-Utility Allowances'!F16</f>
        <v>0</v>
      </c>
      <c r="G414" s="2755">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5">
        <f>'Part IV-Utility Allowances'!F17</f>
        <v>0</v>
      </c>
      <c r="G415" s="2755">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5" t="str">
        <f>'Part IV-Utility Allowances'!F18</f>
        <v>X</v>
      </c>
      <c r="G416" s="2755">
        <f>'Part IV-Utility Allowances'!G18</f>
        <v>0</v>
      </c>
      <c r="I416" s="1894">
        <f>'Part IV-Utility Allowances'!I18</f>
        <v>0</v>
      </c>
      <c r="J416" s="1894">
        <f>'Part IV-Utility Allowances'!J18</f>
        <v>22</v>
      </c>
      <c r="K416" s="1894">
        <f>'Part IV-Utility Allowances'!K18</f>
        <v>29</v>
      </c>
      <c r="L416" s="1894">
        <f>'Part IV-Utility Allowances'!L18</f>
        <v>0</v>
      </c>
      <c r="M416" s="1894">
        <f>'Part IV-Utility Allowances'!M18</f>
        <v>0</v>
      </c>
    </row>
    <row r="417" spans="1:13">
      <c r="B417" s="359" t="s">
        <v>1292</v>
      </c>
      <c r="C417" s="359"/>
      <c r="D417" s="359" t="s">
        <v>6746</v>
      </c>
      <c r="E417" s="1894" t="str">
        <f>'Part IV-Utility Allowances'!E19</f>
        <v>Yes</v>
      </c>
      <c r="F417" s="2755">
        <f>'Part IV-Utility Allowances'!F19</f>
        <v>0</v>
      </c>
      <c r="G417" s="2755"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5">
        <f>'Part IV-Utility Allowances'!F20</f>
        <v>0</v>
      </c>
      <c r="G418" s="2755"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5">
        <f>'Part IV-Utility Allowances'!F21</f>
        <v>0</v>
      </c>
      <c r="G419" s="2755">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5">
        <f>IF(SUM(I410:I419)=0,0,IF(OR($D410="&lt;&lt;Select Fuel &gt;&gt;",$D411="&lt;&lt;Select Fuel &gt;&gt;",$D412="&lt;&lt;Select Fuel &gt;&gt;"),"Select Fuel",IF($E417="&lt;Select&gt;","Submeter?",SUM(I410:I419))))</f>
        <v>0</v>
      </c>
      <c r="J420" s="2755">
        <f>IF(SUM(J410:J419)=0,0,IF(OR($D410="&lt;&lt;Select Fuel &gt;&gt;",$D411="&lt;&lt;Select Fuel &gt;&gt;",$D412="&lt;&lt;Select Fuel &gt;&gt;"),"Select Fuel",IF($E417="&lt;Select&gt;","Submeter?",SUM(J410:J419))))</f>
        <v>60</v>
      </c>
      <c r="K420" s="2755">
        <f>IF(SUM(K410:K419)=0,0,IF(OR($D410="&lt;&lt;Select Fuel &gt;&gt;",$D411="&lt;&lt;Select Fuel &gt;&gt;",$D412="&lt;&lt;Select Fuel &gt;&gt;"),"Select Fuel",IF($E417="&lt;Select&gt;","Submeter?",SUM(K410:K419))))</f>
        <v>81</v>
      </c>
      <c r="L420" s="2755">
        <f>IF(SUM(L410:L419)=0,0,IF(OR($D410="&lt;&lt;Select Fuel &gt;&gt;",$D411="&lt;&lt;Select Fuel &gt;&gt;",$D412="&lt;&lt;Select Fuel &gt;&gt;"),"Select Fuel",IF($E417="&lt;Select&gt;","Submeter?",SUM(L410:L419))))</f>
        <v>0</v>
      </c>
      <c r="M420" s="2755">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0">
        <f>'Part IV-Utility Allowances'!I24</f>
        <v>0</v>
      </c>
      <c r="J422" s="2620"/>
      <c r="K422" s="2620"/>
      <c r="L422" s="2620"/>
      <c r="M422" s="2620"/>
    </row>
    <row r="423" spans="1:13">
      <c r="A423" s="361"/>
      <c r="B423" s="361"/>
      <c r="F423" s="359" t="s">
        <v>593</v>
      </c>
      <c r="G423" s="359"/>
      <c r="H423" s="359"/>
      <c r="I423" s="2754">
        <f>'Part IV-Utility Allowances'!I25</f>
        <v>0</v>
      </c>
      <c r="J423" s="2754"/>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5">
        <f>'Part IV-Utility Allowances'!F29</f>
        <v>0</v>
      </c>
      <c r="G427" s="2755">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5">
        <f>'Part IV-Utility Allowances'!F30</f>
        <v>0</v>
      </c>
      <c r="G428" s="2755">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5">
        <f>'Part IV-Utility Allowances'!F31</f>
        <v>0</v>
      </c>
      <c r="G429" s="2755">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5">
        <f>'Part IV-Utility Allowances'!F32</f>
        <v>0</v>
      </c>
      <c r="G430" s="2755">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5">
        <f>'Part IV-Utility Allowances'!F33</f>
        <v>0</v>
      </c>
      <c r="G431" s="2755">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5">
        <f>'Part IV-Utility Allowances'!F34</f>
        <v>0</v>
      </c>
      <c r="G432" s="2755">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5">
        <f>'Part IV-Utility Allowances'!F35</f>
        <v>0</v>
      </c>
      <c r="G433" s="2755">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5">
        <f>'Part IV-Utility Allowances'!F36</f>
        <v>0</v>
      </c>
      <c r="G434" s="2755">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5">
        <f>'Part IV-Utility Allowances'!F37</f>
        <v>0</v>
      </c>
      <c r="G435" s="2755">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5">
        <f>'Part IV-Utility Allowances'!F38</f>
        <v>0</v>
      </c>
      <c r="G436" s="2755">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8">
      <c r="B441" s="2756" t="str">
        <f>'Part IV-Utility Allowances'!B43</f>
        <v>The HUD Utility Schedule Model is an allowed utility allowance for a Tax Credit Building with no HOME per Threshold Section II, Part A, Subsection 7 Operating Utility Allowance (UA). All documentation used in the calculation has been submitted in Folder 02 Feasibility.</v>
      </c>
      <c r="C441" s="2756"/>
      <c r="D441" s="2756"/>
      <c r="E441" s="2756"/>
      <c r="F441" s="2756"/>
      <c r="G441" s="2756"/>
      <c r="H441" s="2756"/>
      <c r="I441" s="2756"/>
      <c r="J441" s="2756"/>
      <c r="K441" s="2756"/>
      <c r="L441" s="2756"/>
      <c r="M441" s="2756"/>
    </row>
    <row r="443" spans="1:13">
      <c r="A443" s="361"/>
      <c r="B443" s="361" t="s">
        <v>1711</v>
      </c>
    </row>
    <row r="444" spans="1:13">
      <c r="B444" s="2756"/>
      <c r="C444" s="2756"/>
      <c r="D444" s="2756"/>
      <c r="E444" s="2756"/>
      <c r="F444" s="2756"/>
      <c r="G444" s="2756"/>
      <c r="H444" s="2756"/>
      <c r="I444" s="2756"/>
      <c r="J444" s="2756"/>
      <c r="K444" s="2756"/>
      <c r="L444" s="2756"/>
      <c r="M444" s="2756"/>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Helix,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Helix,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29" t="s">
        <v>6093</v>
      </c>
      <c r="E451" s="2629"/>
      <c r="F451" s="2629"/>
      <c r="G451" s="2629"/>
      <c r="H451" s="2629"/>
      <c r="I451" s="2629"/>
      <c r="J451" s="2629"/>
      <c r="K451" s="1747"/>
      <c r="L451" s="1747"/>
      <c r="M451" s="1747"/>
      <c r="O451" s="2757" t="s">
        <v>534</v>
      </c>
      <c r="P451" s="2758" t="str">
        <f>'Part I-Project Identification'!$O$28</f>
        <v>Atlanta-Sandy Springs-Marietta</v>
      </c>
      <c r="Q451" s="2758"/>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59" t="s">
        <v>3045</v>
      </c>
      <c r="MG451" s="2759" t="s">
        <v>3046</v>
      </c>
      <c r="MH451" s="2759" t="s">
        <v>3047</v>
      </c>
      <c r="MI451" s="2759" t="s">
        <v>3048</v>
      </c>
      <c r="MJ451" s="2759" t="s">
        <v>3049</v>
      </c>
      <c r="MK451" s="1503"/>
      <c r="ML451" s="1503"/>
      <c r="MM451" s="1503"/>
      <c r="MN451" s="1503"/>
      <c r="MO451" s="1503"/>
      <c r="MP451" s="1503"/>
      <c r="MQ451" s="1503"/>
      <c r="MR451" s="1503"/>
      <c r="MS451" s="1503"/>
      <c r="MT451" s="1503"/>
    </row>
    <row r="452" spans="1:380" s="359" customFormat="1" ht="3" customHeight="1">
      <c r="B452" s="1747"/>
      <c r="D452" s="2629"/>
      <c r="E452" s="2629"/>
      <c r="F452" s="2629"/>
      <c r="G452" s="2629"/>
      <c r="H452" s="2629"/>
      <c r="I452" s="2629"/>
      <c r="J452" s="2629"/>
      <c r="P452" s="2758"/>
      <c r="Q452" s="2760" t="s">
        <v>6971</v>
      </c>
      <c r="R452" s="2761"/>
      <c r="S452" s="2620"/>
      <c r="T452" s="2620"/>
      <c r="U452" s="2620"/>
      <c r="X452" s="2759" t="s">
        <v>3681</v>
      </c>
      <c r="Y452" s="2759" t="s">
        <v>3682</v>
      </c>
      <c r="Z452" s="2759" t="s">
        <v>3683</v>
      </c>
      <c r="AA452" s="2759" t="s">
        <v>3684</v>
      </c>
      <c r="AB452" s="2759" t="s">
        <v>3685</v>
      </c>
      <c r="AC452" s="2759" t="s">
        <v>3686</v>
      </c>
      <c r="AD452" s="2759" t="s">
        <v>3687</v>
      </c>
      <c r="AE452" s="2759" t="s">
        <v>3688</v>
      </c>
      <c r="AF452" s="2759" t="s">
        <v>3689</v>
      </c>
      <c r="AG452" s="2759" t="s">
        <v>3690</v>
      </c>
      <c r="AH452" s="2759" t="s">
        <v>861</v>
      </c>
      <c r="AI452" s="2759" t="s">
        <v>705</v>
      </c>
      <c r="AJ452" s="2759" t="s">
        <v>706</v>
      </c>
      <c r="AK452" s="2759" t="s">
        <v>707</v>
      </c>
      <c r="AL452" s="2759" t="s">
        <v>708</v>
      </c>
      <c r="AM452" s="2759" t="s">
        <v>862</v>
      </c>
      <c r="AN452" s="2759" t="s">
        <v>2131</v>
      </c>
      <c r="AO452" s="2759" t="s">
        <v>2132</v>
      </c>
      <c r="AP452" s="2759" t="s">
        <v>2133</v>
      </c>
      <c r="AQ452" s="2759" t="s">
        <v>2134</v>
      </c>
      <c r="AR452" s="2759" t="s">
        <v>3692</v>
      </c>
      <c r="AS452" s="2759" t="s">
        <v>3693</v>
      </c>
      <c r="AT452" s="2759" t="s">
        <v>3694</v>
      </c>
      <c r="AU452" s="2759" t="s">
        <v>3695</v>
      </c>
      <c r="AV452" s="2759" t="s">
        <v>3691</v>
      </c>
      <c r="AW452" s="2759" t="s">
        <v>863</v>
      </c>
      <c r="AX452" s="2759" t="s">
        <v>2135</v>
      </c>
      <c r="AY452" s="2759" t="s">
        <v>2136</v>
      </c>
      <c r="AZ452" s="2759" t="s">
        <v>2137</v>
      </c>
      <c r="BA452" s="2759" t="s">
        <v>2138</v>
      </c>
      <c r="BB452" s="2759" t="s">
        <v>3696</v>
      </c>
      <c r="BC452" s="2759" t="s">
        <v>3697</v>
      </c>
      <c r="BD452" s="2759" t="s">
        <v>3698</v>
      </c>
      <c r="BE452" s="2759" t="s">
        <v>3699</v>
      </c>
      <c r="BF452" s="2759" t="s">
        <v>3700</v>
      </c>
      <c r="BG452" s="2759" t="s">
        <v>123</v>
      </c>
      <c r="BH452" s="2759" t="s">
        <v>2139</v>
      </c>
      <c r="BI452" s="2759" t="s">
        <v>2140</v>
      </c>
      <c r="BJ452" s="2759" t="s">
        <v>2141</v>
      </c>
      <c r="BK452" s="2759" t="s">
        <v>1080</v>
      </c>
      <c r="BL452" s="2759" t="s">
        <v>3701</v>
      </c>
      <c r="BM452" s="2759" t="s">
        <v>3702</v>
      </c>
      <c r="BN452" s="2759" t="s">
        <v>3703</v>
      </c>
      <c r="BO452" s="2759" t="s">
        <v>3704</v>
      </c>
      <c r="BP452" s="2759" t="s">
        <v>3705</v>
      </c>
      <c r="BQ452" s="2759" t="s">
        <v>517</v>
      </c>
      <c r="BR452" s="2759" t="s">
        <v>518</v>
      </c>
      <c r="BS452" s="2759" t="s">
        <v>535</v>
      </c>
      <c r="BT452" s="2759" t="s">
        <v>536</v>
      </c>
      <c r="BU452" s="2759" t="s">
        <v>537</v>
      </c>
      <c r="BV452" s="2759" t="s">
        <v>3706</v>
      </c>
      <c r="BW452" s="2759" t="s">
        <v>3707</v>
      </c>
      <c r="BX452" s="2759" t="s">
        <v>3708</v>
      </c>
      <c r="BY452" s="2759" t="s">
        <v>3709</v>
      </c>
      <c r="BZ452" s="2759" t="s">
        <v>3710</v>
      </c>
      <c r="CA452" s="2759" t="s">
        <v>538</v>
      </c>
      <c r="CB452" s="2759" t="s">
        <v>539</v>
      </c>
      <c r="CC452" s="2759" t="s">
        <v>540</v>
      </c>
      <c r="CD452" s="2759" t="s">
        <v>541</v>
      </c>
      <c r="CE452" s="2759" t="s">
        <v>542</v>
      </c>
      <c r="CF452" s="2759" t="s">
        <v>543</v>
      </c>
      <c r="CG452" s="2759" t="s">
        <v>544</v>
      </c>
      <c r="CH452" s="2759" t="s">
        <v>872</v>
      </c>
      <c r="CI452" s="2759" t="s">
        <v>873</v>
      </c>
      <c r="CJ452" s="2759" t="s">
        <v>874</v>
      </c>
      <c r="CK452" s="2759" t="s">
        <v>3716</v>
      </c>
      <c r="CL452" s="2759" t="s">
        <v>3717</v>
      </c>
      <c r="CM452" s="2759" t="s">
        <v>3718</v>
      </c>
      <c r="CN452" s="2759" t="s">
        <v>3719</v>
      </c>
      <c r="CO452" s="2759" t="s">
        <v>3720</v>
      </c>
      <c r="CP452" s="2759" t="s">
        <v>3711</v>
      </c>
      <c r="CQ452" s="2759" t="s">
        <v>3712</v>
      </c>
      <c r="CR452" s="2759" t="s">
        <v>3713</v>
      </c>
      <c r="CS452" s="2759" t="s">
        <v>3714</v>
      </c>
      <c r="CT452" s="2759" t="s">
        <v>3715</v>
      </c>
      <c r="CU452" s="2759" t="s">
        <v>3721</v>
      </c>
      <c r="CV452" s="2759" t="s">
        <v>3722</v>
      </c>
      <c r="CW452" s="2759" t="s">
        <v>3723</v>
      </c>
      <c r="CX452" s="2759" t="s">
        <v>3724</v>
      </c>
      <c r="CY452" s="2759" t="s">
        <v>3725</v>
      </c>
      <c r="CZ452" s="2759" t="s">
        <v>466</v>
      </c>
      <c r="DA452" s="2759" t="s">
        <v>467</v>
      </c>
      <c r="DB452" s="2759" t="s">
        <v>468</v>
      </c>
      <c r="DC452" s="2759" t="s">
        <v>469</v>
      </c>
      <c r="DD452" s="2759" t="s">
        <v>470</v>
      </c>
      <c r="DE452" s="2759" t="s">
        <v>3726</v>
      </c>
      <c r="DF452" s="2759" t="s">
        <v>3727</v>
      </c>
      <c r="DG452" s="2759" t="s">
        <v>3728</v>
      </c>
      <c r="DH452" s="2759" t="s">
        <v>3729</v>
      </c>
      <c r="DI452" s="2759" t="s">
        <v>3730</v>
      </c>
      <c r="DJ452" s="2759" t="s">
        <v>822</v>
      </c>
      <c r="DK452" s="2759" t="s">
        <v>823</v>
      </c>
      <c r="DL452" s="2759" t="s">
        <v>824</v>
      </c>
      <c r="DM452" s="2759" t="s">
        <v>825</v>
      </c>
      <c r="DN452" s="2759" t="s">
        <v>826</v>
      </c>
      <c r="DO452" s="2759" t="s">
        <v>827</v>
      </c>
      <c r="DP452" s="2759" t="s">
        <v>828</v>
      </c>
      <c r="DQ452" s="2759" t="s">
        <v>829</v>
      </c>
      <c r="DR452" s="2759" t="s">
        <v>830</v>
      </c>
      <c r="DS452" s="2759" t="s">
        <v>831</v>
      </c>
      <c r="DT452" s="2759" t="s">
        <v>3731</v>
      </c>
      <c r="DU452" s="2759" t="s">
        <v>3732</v>
      </c>
      <c r="DV452" s="2759" t="s">
        <v>3733</v>
      </c>
      <c r="DW452" s="2759" t="s">
        <v>3734</v>
      </c>
      <c r="DX452" s="2759" t="s">
        <v>3735</v>
      </c>
      <c r="DY452" s="2759" t="s">
        <v>3736</v>
      </c>
      <c r="DZ452" s="2759" t="s">
        <v>3737</v>
      </c>
      <c r="EA452" s="2759" t="s">
        <v>3738</v>
      </c>
      <c r="EB452" s="2759" t="s">
        <v>3739</v>
      </c>
      <c r="EC452" s="2759" t="s">
        <v>3740</v>
      </c>
      <c r="ED452" s="2759" t="s">
        <v>2235</v>
      </c>
      <c r="EE452" s="2759" t="s">
        <v>2236</v>
      </c>
      <c r="EF452" s="2759" t="s">
        <v>2237</v>
      </c>
      <c r="EG452" s="2759" t="s">
        <v>2238</v>
      </c>
      <c r="EH452" s="2759" t="s">
        <v>2239</v>
      </c>
      <c r="EI452" s="2759" t="s">
        <v>3741</v>
      </c>
      <c r="EJ452" s="2759" t="s">
        <v>3742</v>
      </c>
      <c r="EK452" s="2759" t="s">
        <v>3743</v>
      </c>
      <c r="EL452" s="2759" t="s">
        <v>3744</v>
      </c>
      <c r="EM452" s="2759" t="s">
        <v>3745</v>
      </c>
      <c r="EN452" s="2759" t="s">
        <v>3746</v>
      </c>
      <c r="EO452" s="2759" t="s">
        <v>3747</v>
      </c>
      <c r="EP452" s="2759" t="s">
        <v>3748</v>
      </c>
      <c r="EQ452" s="2759" t="s">
        <v>3749</v>
      </c>
      <c r="ER452" s="2759" t="s">
        <v>3750</v>
      </c>
      <c r="ES452" s="2759" t="s">
        <v>111</v>
      </c>
      <c r="ET452" s="2759" t="s">
        <v>1083</v>
      </c>
      <c r="EU452" s="2759" t="s">
        <v>1084</v>
      </c>
      <c r="EV452" s="2759" t="s">
        <v>1139</v>
      </c>
      <c r="EW452" s="2759" t="s">
        <v>1140</v>
      </c>
      <c r="EX452" s="2759" t="s">
        <v>126</v>
      </c>
      <c r="EY452" s="2759" t="s">
        <v>1141</v>
      </c>
      <c r="EZ452" s="2759" t="s">
        <v>1142</v>
      </c>
      <c r="FA452" s="2759" t="s">
        <v>1143</v>
      </c>
      <c r="FB452" s="2759" t="s">
        <v>1144</v>
      </c>
      <c r="FC452" s="2759" t="s">
        <v>3751</v>
      </c>
      <c r="FD452" s="2759" t="s">
        <v>3752</v>
      </c>
      <c r="FE452" s="2759" t="s">
        <v>3753</v>
      </c>
      <c r="FF452" s="2759" t="s">
        <v>3754</v>
      </c>
      <c r="FG452" s="2759" t="s">
        <v>3755</v>
      </c>
      <c r="FH452" s="2759" t="s">
        <v>125</v>
      </c>
      <c r="FI452" s="2759" t="s">
        <v>853</v>
      </c>
      <c r="FJ452" s="2759" t="s">
        <v>854</v>
      </c>
      <c r="FK452" s="2759" t="s">
        <v>855</v>
      </c>
      <c r="FL452" s="2759" t="s">
        <v>856</v>
      </c>
      <c r="FM452" s="2759" t="s">
        <v>3756</v>
      </c>
      <c r="FN452" s="2759" t="s">
        <v>3757</v>
      </c>
      <c r="FO452" s="2759" t="s">
        <v>3758</v>
      </c>
      <c r="FP452" s="2759" t="s">
        <v>3759</v>
      </c>
      <c r="FQ452" s="2759" t="s">
        <v>3760</v>
      </c>
      <c r="FR452" s="2759" t="s">
        <v>124</v>
      </c>
      <c r="FS452" s="2759" t="s">
        <v>857</v>
      </c>
      <c r="FT452" s="2759" t="s">
        <v>858</v>
      </c>
      <c r="FU452" s="2759" t="s">
        <v>859</v>
      </c>
      <c r="FV452" s="2759" t="s">
        <v>860</v>
      </c>
      <c r="FW452" s="2759" t="s">
        <v>752</v>
      </c>
      <c r="FX452" s="2759" t="s">
        <v>753</v>
      </c>
      <c r="FY452" s="2759" t="s">
        <v>754</v>
      </c>
      <c r="FZ452" s="2759" t="s">
        <v>755</v>
      </c>
      <c r="GA452" s="2759" t="s">
        <v>756</v>
      </c>
      <c r="GB452" s="2759" t="s">
        <v>896</v>
      </c>
      <c r="GC452" s="2759" t="s">
        <v>897</v>
      </c>
      <c r="GD452" s="2759" t="s">
        <v>898</v>
      </c>
      <c r="GE452" s="2759" t="s">
        <v>899</v>
      </c>
      <c r="GF452" s="2759" t="s">
        <v>2234</v>
      </c>
      <c r="GG452" s="2759" t="s">
        <v>1344</v>
      </c>
      <c r="GH452" s="2759" t="s">
        <v>1345</v>
      </c>
      <c r="GI452" s="2759" t="s">
        <v>1346</v>
      </c>
      <c r="GJ452" s="2759" t="s">
        <v>1347</v>
      </c>
      <c r="GK452" s="2759" t="s">
        <v>1348</v>
      </c>
      <c r="GL452" s="2759" t="s">
        <v>411</v>
      </c>
      <c r="GM452" s="2759" t="s">
        <v>412</v>
      </c>
      <c r="GN452" s="2759" t="s">
        <v>413</v>
      </c>
      <c r="GO452" s="2759" t="s">
        <v>414</v>
      </c>
      <c r="GP452" s="2759" t="s">
        <v>415</v>
      </c>
      <c r="GQ452" s="2759" t="s">
        <v>14</v>
      </c>
      <c r="GR452" s="2759" t="s">
        <v>15</v>
      </c>
      <c r="GS452" s="2759" t="s">
        <v>16</v>
      </c>
      <c r="GT452" s="2759" t="s">
        <v>17</v>
      </c>
      <c r="GU452" s="2759" t="s">
        <v>18</v>
      </c>
      <c r="GV452" s="2759" t="s">
        <v>214</v>
      </c>
      <c r="GW452" s="2759" t="s">
        <v>215</v>
      </c>
      <c r="GX452" s="2759" t="s">
        <v>216</v>
      </c>
      <c r="GY452" s="2759" t="s">
        <v>1680</v>
      </c>
      <c r="GZ452" s="2759" t="s">
        <v>1681</v>
      </c>
      <c r="HA452" s="2759" t="s">
        <v>1682</v>
      </c>
      <c r="HB452" s="2759" t="s">
        <v>550</v>
      </c>
      <c r="HC452" s="2759" t="s">
        <v>551</v>
      </c>
      <c r="HD452" s="2759" t="s">
        <v>552</v>
      </c>
      <c r="HE452" s="2759" t="s">
        <v>553</v>
      </c>
      <c r="HF452" s="2759" t="s">
        <v>19</v>
      </c>
      <c r="HG452" s="2759" t="s">
        <v>20</v>
      </c>
      <c r="HH452" s="2759" t="s">
        <v>21</v>
      </c>
      <c r="HI452" s="2759" t="s">
        <v>22</v>
      </c>
      <c r="HJ452" s="2759" t="s">
        <v>23</v>
      </c>
      <c r="HK452" s="2759" t="s">
        <v>465</v>
      </c>
      <c r="HL452" s="2759" t="s">
        <v>407</v>
      </c>
      <c r="HM452" s="2759" t="s">
        <v>408</v>
      </c>
      <c r="HN452" s="2759" t="s">
        <v>409</v>
      </c>
      <c r="HO452" s="2759" t="s">
        <v>410</v>
      </c>
      <c r="HP452" s="2759" t="s">
        <v>2042</v>
      </c>
      <c r="HQ452" s="2759" t="s">
        <v>2043</v>
      </c>
      <c r="HR452" s="2759" t="s">
        <v>2044</v>
      </c>
      <c r="HS452" s="2759" t="s">
        <v>1385</v>
      </c>
      <c r="HT452" s="2759" t="s">
        <v>1386</v>
      </c>
      <c r="HU452" s="2759" t="s">
        <v>24</v>
      </c>
      <c r="HV452" s="2759" t="s">
        <v>25</v>
      </c>
      <c r="HW452" s="2759" t="s">
        <v>26</v>
      </c>
      <c r="HX452" s="2759" t="s">
        <v>27</v>
      </c>
      <c r="HY452" s="2759"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59" t="s">
        <v>1518</v>
      </c>
      <c r="LH452" s="2759" t="s">
        <v>2321</v>
      </c>
      <c r="LI452" s="2759" t="s">
        <v>2322</v>
      </c>
      <c r="LJ452" s="2759" t="s">
        <v>364</v>
      </c>
      <c r="LK452" s="2759" t="s">
        <v>365</v>
      </c>
      <c r="LL452" s="2759" t="s">
        <v>366</v>
      </c>
      <c r="LM452" s="2759" t="s">
        <v>367</v>
      </c>
      <c r="LN452" s="2759" t="s">
        <v>368</v>
      </c>
      <c r="LO452" s="2759" t="s">
        <v>369</v>
      </c>
      <c r="LP452" s="2759" t="s">
        <v>370</v>
      </c>
      <c r="LQ452" s="2759" t="s">
        <v>195</v>
      </c>
      <c r="LR452" s="2759" t="s">
        <v>196</v>
      </c>
      <c r="LS452" s="2759" t="s">
        <v>197</v>
      </c>
      <c r="LT452" s="2759" t="s">
        <v>198</v>
      </c>
      <c r="LU452" s="2759" t="s">
        <v>199</v>
      </c>
      <c r="LV452" s="2759" t="s">
        <v>200</v>
      </c>
      <c r="LW452" s="2759" t="s">
        <v>201</v>
      </c>
      <c r="LX452" s="2759" t="s">
        <v>202</v>
      </c>
      <c r="LY452" s="2759" t="s">
        <v>203</v>
      </c>
      <c r="LZ452" s="2759" t="s">
        <v>204</v>
      </c>
      <c r="MA452" s="2759" t="s">
        <v>205</v>
      </c>
      <c r="MB452" s="2759" t="s">
        <v>206</v>
      </c>
      <c r="MC452" s="2759" t="s">
        <v>207</v>
      </c>
      <c r="MD452" s="2759" t="s">
        <v>208</v>
      </c>
      <c r="ME452" s="2759" t="s">
        <v>209</v>
      </c>
      <c r="MF452" s="2759"/>
      <c r="MG452" s="2759"/>
      <c r="MH452" s="2759"/>
      <c r="MI452" s="2759"/>
      <c r="MJ452" s="2759"/>
      <c r="MK452" s="1503"/>
      <c r="ML452" s="1503"/>
      <c r="MM452" s="1503"/>
      <c r="MN452" s="1503"/>
      <c r="MO452" s="1503"/>
      <c r="MP452" s="1503"/>
      <c r="MQ452" s="1503"/>
      <c r="MR452" s="1503"/>
      <c r="MS452" s="1503"/>
      <c r="MT452" s="1503"/>
    </row>
    <row r="453" spans="1:380" s="359" customFormat="1" ht="12.6" customHeight="1">
      <c r="A453" s="2762" t="str">
        <f>IF(A496&gt;0,"Finish Row!","")</f>
        <v/>
      </c>
      <c r="B453" s="1634" t="s">
        <v>6972</v>
      </c>
      <c r="D453" s="2629"/>
      <c r="E453" s="2629"/>
      <c r="F453" s="2629"/>
      <c r="G453" s="1894" t="str">
        <f>'Part V-Revenues &amp; Expenses'!G6</f>
        <v>&lt;Select&gt;</v>
      </c>
      <c r="H453" s="2763" t="s">
        <v>6096</v>
      </c>
      <c r="I453" s="2763"/>
      <c r="J453" s="2763"/>
      <c r="K453" s="2764" t="s">
        <v>3135</v>
      </c>
      <c r="L453" s="2765" t="str">
        <f>'Part I-Project Identification'!$A$6</f>
        <v>April 2023</v>
      </c>
      <c r="M453" s="2765"/>
      <c r="N453" s="2765"/>
      <c r="O453" s="2766" t="s">
        <v>6973</v>
      </c>
      <c r="P453" s="2767">
        <f>'Part V-Revenues &amp; Expenses'!P6</f>
        <v>96400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3040</v>
      </c>
      <c r="ML453" s="2768" t="s">
        <v>3041</v>
      </c>
      <c r="MM453" s="2768" t="s">
        <v>3042</v>
      </c>
      <c r="MN453" s="2768" t="s">
        <v>3043</v>
      </c>
      <c r="MO453" s="2768" t="s">
        <v>3044</v>
      </c>
      <c r="MP453" s="2759" t="s">
        <v>6280</v>
      </c>
      <c r="MQ453" s="2759" t="s">
        <v>6281</v>
      </c>
      <c r="MR453" s="2759" t="s">
        <v>6282</v>
      </c>
      <c r="MS453" s="2759" t="s">
        <v>6283</v>
      </c>
      <c r="MT453" s="2759" t="s">
        <v>6284</v>
      </c>
    </row>
    <row r="454" spans="1:380" s="359" customFormat="1" ht="12.6" customHeight="1">
      <c r="A454" s="2762"/>
      <c r="B454" s="2769" t="s">
        <v>6095</v>
      </c>
      <c r="E454" s="1747"/>
      <c r="G454" s="1894" t="str">
        <f>'Part V-Revenues &amp; Expenses'!G7</f>
        <v>No</v>
      </c>
      <c r="I454" s="2770" t="s">
        <v>4070</v>
      </c>
      <c r="J454" s="2764" t="s">
        <v>742</v>
      </c>
      <c r="K454" s="2764" t="s">
        <v>3182</v>
      </c>
      <c r="L454" s="2765"/>
      <c r="M454" s="2765"/>
      <c r="N454" s="2765"/>
      <c r="O454" s="2771" t="s">
        <v>6075</v>
      </c>
      <c r="P454" s="2772">
        <f>'Part V-Revenues &amp; Expenses'!P7</f>
        <v>44669</v>
      </c>
      <c r="Q454" s="2760"/>
      <c r="R454" s="1747" t="s">
        <v>2457</v>
      </c>
      <c r="S454" s="1747"/>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3763</v>
      </c>
      <c r="I455" s="2770"/>
      <c r="J455" s="2764" t="s">
        <v>743</v>
      </c>
      <c r="K455" s="2764" t="s">
        <v>3183</v>
      </c>
      <c r="L455" s="2620"/>
      <c r="M455" s="2620"/>
      <c r="N455" s="2774" t="s">
        <v>6479</v>
      </c>
      <c r="O455" s="2621" t="str">
        <f>'Part V-Revenues &amp; Expenses'!O8</f>
        <v>Novogradic</v>
      </c>
      <c r="P455" s="2621"/>
      <c r="Q455" s="2760"/>
      <c r="R455" s="2775"/>
      <c r="S455" s="2776" t="s">
        <v>2454</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3764</v>
      </c>
      <c r="C456" s="2764" t="s">
        <v>165</v>
      </c>
      <c r="D456" s="2764" t="s">
        <v>510</v>
      </c>
      <c r="E456" s="2764" t="s">
        <v>1382</v>
      </c>
      <c r="F456" s="2764" t="s">
        <v>1382</v>
      </c>
      <c r="G456" s="2770" t="s">
        <v>6091</v>
      </c>
      <c r="H456" s="2761" t="s">
        <v>3301</v>
      </c>
      <c r="I456" s="2770"/>
      <c r="J456" s="2777" t="s">
        <v>6085</v>
      </c>
      <c r="K456" s="2764" t="s">
        <v>6974</v>
      </c>
      <c r="L456" s="1634" t="s">
        <v>139</v>
      </c>
      <c r="M456" s="1634"/>
      <c r="N456" s="2764" t="s">
        <v>2184</v>
      </c>
      <c r="O456" s="2764" t="s">
        <v>6482</v>
      </c>
      <c r="P456" s="2760" t="s">
        <v>6975</v>
      </c>
      <c r="Q456" s="2760"/>
      <c r="R456" s="2764" t="s">
        <v>2453</v>
      </c>
      <c r="S456" s="2764" t="s">
        <v>2455</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1371</v>
      </c>
      <c r="IA456" s="1884" t="s">
        <v>2245</v>
      </c>
      <c r="IB456" s="1884" t="s">
        <v>2246</v>
      </c>
      <c r="IC456" s="1884" t="s">
        <v>2247</v>
      </c>
      <c r="ID456" s="1884" t="s">
        <v>2248</v>
      </c>
      <c r="IE456" s="2759" t="s">
        <v>2299</v>
      </c>
      <c r="IF456" s="2759" t="s">
        <v>2299</v>
      </c>
      <c r="IG456" s="2759" t="s">
        <v>2299</v>
      </c>
      <c r="IH456" s="2759" t="s">
        <v>2299</v>
      </c>
      <c r="II456" s="2759" t="s">
        <v>2299</v>
      </c>
      <c r="IJ456" s="2759" t="s">
        <v>3000</v>
      </c>
      <c r="IK456" s="2759" t="s">
        <v>3000</v>
      </c>
      <c r="IL456" s="2759" t="s">
        <v>3000</v>
      </c>
      <c r="IM456" s="2759" t="s">
        <v>3000</v>
      </c>
      <c r="IN456" s="2759"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59" t="s">
        <v>6285</v>
      </c>
      <c r="IZ456" s="2759" t="s">
        <v>6285</v>
      </c>
      <c r="JA456" s="2759" t="s">
        <v>6285</v>
      </c>
      <c r="JB456" s="2759" t="s">
        <v>6285</v>
      </c>
      <c r="JC456" s="2759" t="s">
        <v>6285</v>
      </c>
      <c r="JD456" s="2759" t="s">
        <v>6286</v>
      </c>
      <c r="JE456" s="2759" t="s">
        <v>6286</v>
      </c>
      <c r="JF456" s="2759" t="s">
        <v>6286</v>
      </c>
      <c r="JG456" s="2759" t="s">
        <v>6286</v>
      </c>
      <c r="JH456" s="2759" t="s">
        <v>6286</v>
      </c>
      <c r="JI456" s="2759" t="s">
        <v>6288</v>
      </c>
      <c r="JJ456" s="2759" t="s">
        <v>6288</v>
      </c>
      <c r="JK456" s="2759" t="s">
        <v>6288</v>
      </c>
      <c r="JL456" s="2759" t="s">
        <v>6288</v>
      </c>
      <c r="JM456" s="2759" t="s">
        <v>6288</v>
      </c>
      <c r="JN456" s="2759" t="s">
        <v>6289</v>
      </c>
      <c r="JO456" s="2759" t="s">
        <v>6289</v>
      </c>
      <c r="JP456" s="2759" t="s">
        <v>6289</v>
      </c>
      <c r="JQ456" s="2759" t="s">
        <v>6289</v>
      </c>
      <c r="JR456" s="2759" t="s">
        <v>6289</v>
      </c>
      <c r="JS456" s="2759" t="s">
        <v>6290</v>
      </c>
      <c r="JT456" s="2759" t="s">
        <v>6290</v>
      </c>
      <c r="JU456" s="2759" t="s">
        <v>6290</v>
      </c>
      <c r="JV456" s="2759" t="s">
        <v>6290</v>
      </c>
      <c r="JW456" s="2759" t="s">
        <v>6290</v>
      </c>
      <c r="JX456" s="2759" t="s">
        <v>6483</v>
      </c>
      <c r="JY456" s="2759" t="s">
        <v>6483</v>
      </c>
      <c r="JZ456" s="2759" t="s">
        <v>6483</v>
      </c>
      <c r="KA456" s="2759" t="s">
        <v>6483</v>
      </c>
      <c r="KB456" s="2759" t="s">
        <v>6483</v>
      </c>
      <c r="KC456" s="2759" t="s">
        <v>6648</v>
      </c>
      <c r="KD456" s="2759" t="s">
        <v>6648</v>
      </c>
      <c r="KE456" s="2759" t="s">
        <v>6648</v>
      </c>
      <c r="KF456" s="2759" t="s">
        <v>6648</v>
      </c>
      <c r="KG456" s="2759" t="s">
        <v>6648</v>
      </c>
      <c r="KH456" s="2759" t="s">
        <v>6649</v>
      </c>
      <c r="KI456" s="2759" t="s">
        <v>6649</v>
      </c>
      <c r="KJ456" s="2759" t="s">
        <v>6649</v>
      </c>
      <c r="KK456" s="2759" t="s">
        <v>6649</v>
      </c>
      <c r="KL456" s="2759" t="s">
        <v>6649</v>
      </c>
      <c r="KM456" s="2759" t="s">
        <v>6292</v>
      </c>
      <c r="KN456" s="2759" t="s">
        <v>6292</v>
      </c>
      <c r="KO456" s="2759" t="s">
        <v>6292</v>
      </c>
      <c r="KP456" s="2759" t="s">
        <v>6292</v>
      </c>
      <c r="KQ456" s="2759" t="s">
        <v>6292</v>
      </c>
      <c r="KR456" s="2759" t="s">
        <v>6484</v>
      </c>
      <c r="KS456" s="2759" t="s">
        <v>6484</v>
      </c>
      <c r="KT456" s="2759" t="s">
        <v>6484</v>
      </c>
      <c r="KU456" s="2759" t="s">
        <v>6484</v>
      </c>
      <c r="KV456" s="2759" t="s">
        <v>6484</v>
      </c>
      <c r="KW456" s="2759" t="s">
        <v>6650</v>
      </c>
      <c r="KX456" s="2759" t="s">
        <v>6650</v>
      </c>
      <c r="KY456" s="2759" t="s">
        <v>6650</v>
      </c>
      <c r="KZ456" s="2759" t="s">
        <v>6650</v>
      </c>
      <c r="LA456" s="2759" t="s">
        <v>6650</v>
      </c>
      <c r="LB456" s="2759" t="s">
        <v>6651</v>
      </c>
      <c r="LC456" s="2759" t="s">
        <v>6651</v>
      </c>
      <c r="LD456" s="2759" t="s">
        <v>6651</v>
      </c>
      <c r="LE456" s="2759" t="s">
        <v>6651</v>
      </c>
      <c r="LF456" s="2759" t="s">
        <v>6651</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3931</v>
      </c>
      <c r="C457" s="2764" t="s">
        <v>164</v>
      </c>
      <c r="D457" s="2764" t="s">
        <v>166</v>
      </c>
      <c r="E457" s="2764" t="s">
        <v>1383</v>
      </c>
      <c r="F457" s="2764" t="s">
        <v>1203</v>
      </c>
      <c r="G457" s="2770"/>
      <c r="H457" s="2764" t="s">
        <v>6092</v>
      </c>
      <c r="I457" s="2770"/>
      <c r="J457" s="2777"/>
      <c r="K457" s="2779" t="s">
        <v>334</v>
      </c>
      <c r="L457" s="2764" t="s">
        <v>1432</v>
      </c>
      <c r="M457" s="2764" t="s">
        <v>504</v>
      </c>
      <c r="N457" s="2764" t="s">
        <v>1382</v>
      </c>
      <c r="O457" s="2764" t="s">
        <v>6496</v>
      </c>
      <c r="P457" s="2780"/>
      <c r="Q457" s="2760"/>
      <c r="R457" s="2764" t="s">
        <v>1384</v>
      </c>
      <c r="S457" s="2764" t="s">
        <v>2456</v>
      </c>
      <c r="T457" s="361" t="s">
        <v>1711</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4" t="s">
        <v>2298</v>
      </c>
      <c r="IB457" s="1884" t="s">
        <v>2298</v>
      </c>
      <c r="IC457" s="1884" t="s">
        <v>2298</v>
      </c>
      <c r="ID457" s="1884" t="s">
        <v>2298</v>
      </c>
      <c r="IE457" s="2759"/>
      <c r="IF457" s="2759"/>
      <c r="IG457" s="2759"/>
      <c r="IH457" s="2759"/>
      <c r="II457" s="2759"/>
      <c r="IJ457" s="2759"/>
      <c r="IK457" s="2759"/>
      <c r="IL457" s="2759"/>
      <c r="IM457" s="2759"/>
      <c r="IN457" s="2759"/>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3.9" customHeight="1">
      <c r="A458" s="2755" t="str">
        <f t="shared" ref="A458:A495" si="0">IF(AND(E458&gt;0,OR(B458="",C458="",D458="",F458="",G458="", H458="",I458="",N458="",O458="",P458="",Q458="")),1,"")</f>
        <v/>
      </c>
      <c r="B458" s="2574" t="str">
        <f>'Part V-Revenues &amp; Expenses'!B11</f>
        <v>N/A-CS</v>
      </c>
      <c r="C458" s="2575">
        <f>'Part V-Revenues &amp; Expenses'!C11</f>
        <v>0</v>
      </c>
      <c r="D458" s="2576">
        <f>'Part V-Revenues &amp; Expenses'!D11</f>
        <v>0</v>
      </c>
      <c r="E458" s="2577">
        <f>'Part V-Revenues &amp; Expenses'!E11</f>
        <v>0</v>
      </c>
      <c r="F458" s="2577">
        <f>'Part V-Revenues &amp; Expenses'!F11</f>
        <v>0</v>
      </c>
      <c r="G458" s="2577">
        <f>'Part V-Revenues &amp; Expenses'!G11</f>
        <v>0</v>
      </c>
      <c r="H458" s="2577">
        <f>'Part V-Revenues &amp; Expenses'!H11</f>
        <v>0</v>
      </c>
      <c r="I458" s="2577">
        <f>'Part V-Revenues &amp; Expenses'!I11</f>
        <v>0</v>
      </c>
      <c r="J458" s="2577">
        <f>'Part V-Revenues &amp; Expenses'!J11</f>
        <v>0</v>
      </c>
      <c r="K458" s="2578">
        <f>'Part V-Revenues &amp; Expenses'!K11</f>
        <v>0</v>
      </c>
      <c r="L458" s="2579">
        <f t="shared" ref="L458:L495" si="1">MAX(0,H458-I458-J458)</f>
        <v>0</v>
      </c>
      <c r="M458" s="2579">
        <f t="shared" ref="M458:M495" si="2">MAX(0,E458*L458)</f>
        <v>0</v>
      </c>
      <c r="N458" s="2650">
        <f>'Part V-Revenues &amp; Expenses'!N11</f>
        <v>0</v>
      </c>
      <c r="O458" s="1320">
        <f>'Part V-Revenues &amp; Expenses'!O11</f>
        <v>0</v>
      </c>
      <c r="P458" s="2650">
        <f>'Part V-Revenues &amp; Expenses'!P11</f>
        <v>0</v>
      </c>
      <c r="Q458" s="1895">
        <f>'Part V-Revenues &amp; Expenses'!Q11</f>
        <v>0</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5" t="str">
        <f t="shared" si="0"/>
        <v/>
      </c>
      <c r="B459" s="2574" t="str">
        <f>'Part V-Revenues &amp; Expenses'!B12</f>
        <v>N/A-CS</v>
      </c>
      <c r="C459" s="2575">
        <f>'Part V-Revenues &amp; Expenses'!C12</f>
        <v>0</v>
      </c>
      <c r="D459" s="2576">
        <f>'Part V-Revenues &amp; Expenses'!D12</f>
        <v>0</v>
      </c>
      <c r="E459" s="2577">
        <f>'Part V-Revenues &amp; Expenses'!E12</f>
        <v>0</v>
      </c>
      <c r="F459" s="2577">
        <f>'Part V-Revenues &amp; Expenses'!F12</f>
        <v>0</v>
      </c>
      <c r="G459" s="2577">
        <f>'Part V-Revenues &amp; Expenses'!G12</f>
        <v>0</v>
      </c>
      <c r="H459" s="2577">
        <f>'Part V-Revenues &amp; Expenses'!H12</f>
        <v>0</v>
      </c>
      <c r="I459" s="2577">
        <f>'Part V-Revenues &amp; Expenses'!I12</f>
        <v>0</v>
      </c>
      <c r="J459" s="2577">
        <f>'Part V-Revenues &amp; Expenses'!J12</f>
        <v>0</v>
      </c>
      <c r="K459" s="2578">
        <f>'Part V-Revenues &amp; Expenses'!K12</f>
        <v>0</v>
      </c>
      <c r="L459" s="2579">
        <f t="shared" si="1"/>
        <v>0</v>
      </c>
      <c r="M459" s="2579">
        <f t="shared" si="2"/>
        <v>0</v>
      </c>
      <c r="N459" s="2650">
        <f>'Part V-Revenues &amp; Expenses'!N12</f>
        <v>0</v>
      </c>
      <c r="O459" s="1320">
        <f>'Part V-Revenues &amp; Expenses'!O12</f>
        <v>0</v>
      </c>
      <c r="P459" s="2650">
        <f>'Part V-Revenues &amp; Expenses'!P12</f>
        <v>0</v>
      </c>
      <c r="Q459" s="1895">
        <f>'Part V-Revenues &amp; Expenses'!Q12</f>
        <v>0</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5" t="str">
        <f t="shared" si="0"/>
        <v/>
      </c>
      <c r="B460" s="2574" t="str">
        <f>'Part V-Revenues &amp; Expenses'!B13</f>
        <v>Unrestricted</v>
      </c>
      <c r="C460" s="2575">
        <f>'Part V-Revenues &amp; Expenses'!C13</f>
        <v>0</v>
      </c>
      <c r="D460" s="2576">
        <f>'Part V-Revenues &amp; Expenses'!D13</f>
        <v>0</v>
      </c>
      <c r="E460" s="2577">
        <f>'Part V-Revenues &amp; Expenses'!E13</f>
        <v>0</v>
      </c>
      <c r="F460" s="2577">
        <f>'Part V-Revenues &amp; Expenses'!F13</f>
        <v>0</v>
      </c>
      <c r="G460" s="2577">
        <f>'Part V-Revenues &amp; Expenses'!G13</f>
        <v>0</v>
      </c>
      <c r="H460" s="2577">
        <f>'Part V-Revenues &amp; Expenses'!H13</f>
        <v>0</v>
      </c>
      <c r="I460" s="2577">
        <f>'Part V-Revenues &amp; Expenses'!I13</f>
        <v>0</v>
      </c>
      <c r="J460" s="2577">
        <f>'Part V-Revenues &amp; Expenses'!J13</f>
        <v>0</v>
      </c>
      <c r="K460" s="2578">
        <f>'Part V-Revenues &amp; Expenses'!K13</f>
        <v>0</v>
      </c>
      <c r="L460" s="2579">
        <f t="shared" si="1"/>
        <v>0</v>
      </c>
      <c r="M460" s="2579">
        <f t="shared" si="2"/>
        <v>0</v>
      </c>
      <c r="N460" s="2650">
        <f>'Part V-Revenues &amp; Expenses'!N13</f>
        <v>0</v>
      </c>
      <c r="O460" s="1320">
        <f>'Part V-Revenues &amp; Expenses'!O13</f>
        <v>0</v>
      </c>
      <c r="P460" s="2650">
        <f>'Part V-Revenues &amp; Expenses'!P13</f>
        <v>0</v>
      </c>
      <c r="Q460" s="1895">
        <f>'Part V-Revenues &amp; Expenses'!Q13</f>
        <v>0</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5" t="str">
        <f t="shared" si="0"/>
        <v/>
      </c>
      <c r="B461" s="2574" t="str">
        <f>'Part V-Revenues &amp; Expenses'!B14</f>
        <v>Unrestricted</v>
      </c>
      <c r="C461" s="2575">
        <f>'Part V-Revenues &amp; Expenses'!C14</f>
        <v>0</v>
      </c>
      <c r="D461" s="2576">
        <f>'Part V-Revenues &amp; Expenses'!D14</f>
        <v>0</v>
      </c>
      <c r="E461" s="2577">
        <f>'Part V-Revenues &amp; Expenses'!E14</f>
        <v>0</v>
      </c>
      <c r="F461" s="2577">
        <f>'Part V-Revenues &amp; Expenses'!F14</f>
        <v>0</v>
      </c>
      <c r="G461" s="2577">
        <f>'Part V-Revenues &amp; Expenses'!G14</f>
        <v>0</v>
      </c>
      <c r="H461" s="2577">
        <f>'Part V-Revenues &amp; Expenses'!H14</f>
        <v>0</v>
      </c>
      <c r="I461" s="2577">
        <f>'Part V-Revenues &amp; Expenses'!I14</f>
        <v>0</v>
      </c>
      <c r="J461" s="2577">
        <f>'Part V-Revenues &amp; Expenses'!J14</f>
        <v>0</v>
      </c>
      <c r="K461" s="2578">
        <f>'Part V-Revenues &amp; Expenses'!K14</f>
        <v>0</v>
      </c>
      <c r="L461" s="2579">
        <f t="shared" si="1"/>
        <v>0</v>
      </c>
      <c r="M461" s="2579">
        <f t="shared" si="2"/>
        <v>0</v>
      </c>
      <c r="N461" s="2650">
        <f>'Part V-Revenues &amp; Expenses'!N14</f>
        <v>0</v>
      </c>
      <c r="O461" s="1320">
        <f>'Part V-Revenues &amp; Expenses'!O14</f>
        <v>0</v>
      </c>
      <c r="P461" s="2650">
        <f>'Part V-Revenues &amp; Expenses'!P14</f>
        <v>0</v>
      </c>
      <c r="Q461" s="1895">
        <f>'Part V-Revenues &amp; Expenses'!Q14</f>
        <v>0</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5" t="str">
        <f t="shared" si="0"/>
        <v/>
      </c>
      <c r="B462" s="2574" t="str">
        <f>'Part V-Revenues &amp; Expenses'!B15</f>
        <v>Unrestricted</v>
      </c>
      <c r="C462" s="2575">
        <f>'Part V-Revenues &amp; Expenses'!C15</f>
        <v>0</v>
      </c>
      <c r="D462" s="2576">
        <f>'Part V-Revenues &amp; Expenses'!D15</f>
        <v>0</v>
      </c>
      <c r="E462" s="2577">
        <f>'Part V-Revenues &amp; Expenses'!E15</f>
        <v>0</v>
      </c>
      <c r="F462" s="2577">
        <f>'Part V-Revenues &amp; Expenses'!F15</f>
        <v>0</v>
      </c>
      <c r="G462" s="2577">
        <f>'Part V-Revenues &amp; Expenses'!G15</f>
        <v>0</v>
      </c>
      <c r="H462" s="2577">
        <f>'Part V-Revenues &amp; Expenses'!H15</f>
        <v>0</v>
      </c>
      <c r="I462" s="2577">
        <f>'Part V-Revenues &amp; Expenses'!I15</f>
        <v>0</v>
      </c>
      <c r="J462" s="2577">
        <f>'Part V-Revenues &amp; Expenses'!J15</f>
        <v>0</v>
      </c>
      <c r="K462" s="2578">
        <f>'Part V-Revenues &amp; Expenses'!K15</f>
        <v>0</v>
      </c>
      <c r="L462" s="2579">
        <f t="shared" si="1"/>
        <v>0</v>
      </c>
      <c r="M462" s="2579">
        <f t="shared" si="2"/>
        <v>0</v>
      </c>
      <c r="N462" s="2650">
        <f>'Part V-Revenues &amp; Expenses'!N15</f>
        <v>0</v>
      </c>
      <c r="O462" s="1320">
        <f>'Part V-Revenues &amp; Expenses'!O15</f>
        <v>0</v>
      </c>
      <c r="P462" s="2650">
        <f>'Part V-Revenues &amp; Expenses'!P15</f>
        <v>0</v>
      </c>
      <c r="Q462" s="1895">
        <f>'Part V-Revenues &amp; Expenses'!Q15</f>
        <v>0</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5" t="str">
        <f t="shared" si="0"/>
        <v/>
      </c>
      <c r="B463" s="2574" t="str">
        <f>'Part V-Revenues &amp; Expenses'!B16</f>
        <v>Unrestricted</v>
      </c>
      <c r="C463" s="2575">
        <f>'Part V-Revenues &amp; Expenses'!C16</f>
        <v>1</v>
      </c>
      <c r="D463" s="2576">
        <f>'Part V-Revenues &amp; Expenses'!D16</f>
        <v>1</v>
      </c>
      <c r="E463" s="2577">
        <f>'Part V-Revenues &amp; Expenses'!E16</f>
        <v>4</v>
      </c>
      <c r="F463" s="2577">
        <f>'Part V-Revenues &amp; Expenses'!F16</f>
        <v>668</v>
      </c>
      <c r="G463" s="2577" t="str">
        <f>'Part V-Revenues &amp; Expenses'!G16</f>
        <v>NA</v>
      </c>
      <c r="H463" s="2577">
        <f>'Part V-Revenues &amp; Expenses'!H16</f>
        <v>1400</v>
      </c>
      <c r="I463" s="2577">
        <f>'Part V-Revenues &amp; Expenses'!I16</f>
        <v>0</v>
      </c>
      <c r="J463" s="2577">
        <f>'Part V-Revenues &amp; Expenses'!J16</f>
        <v>0</v>
      </c>
      <c r="K463" s="2578">
        <f>'Part V-Revenues &amp; Expenses'!K16</f>
        <v>0</v>
      </c>
      <c r="L463" s="2579">
        <f t="shared" si="1"/>
        <v>1400</v>
      </c>
      <c r="M463" s="2579">
        <f t="shared" si="2"/>
        <v>5600</v>
      </c>
      <c r="N463" s="2650" t="str">
        <f>'Part V-Revenues &amp; Expenses'!N16</f>
        <v>No</v>
      </c>
      <c r="O463" s="1320" t="str">
        <f>'Part V-Revenues &amp; Expenses'!O16</f>
        <v>High-Rise Elevator</v>
      </c>
      <c r="P463" s="2650" t="str">
        <f>'Part V-Revenues &amp; Expenses'!P16</f>
        <v>New Construction</v>
      </c>
      <c r="Q463" s="1895" t="str">
        <f>'Part V-Revenues &amp; Expenses'!Q16</f>
        <v>No</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f t="shared" si="39"/>
        <v>4</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f t="shared" si="154"/>
        <v>2672</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f t="shared" si="174"/>
        <v>4</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f t="shared" si="214"/>
        <v>4</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f t="shared" si="284"/>
        <v>4</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4</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5" t="str">
        <f t="shared" si="0"/>
        <v/>
      </c>
      <c r="B464" s="2574" t="str">
        <f>'Part V-Revenues &amp; Expenses'!B17</f>
        <v>Unrestricted</v>
      </c>
      <c r="C464" s="2575">
        <f>'Part V-Revenues &amp; Expenses'!C17</f>
        <v>2</v>
      </c>
      <c r="D464" s="2576">
        <f>'Part V-Revenues &amp; Expenses'!D17</f>
        <v>2</v>
      </c>
      <c r="E464" s="2577">
        <f>'Part V-Revenues &amp; Expenses'!E17</f>
        <v>6</v>
      </c>
      <c r="F464" s="2577">
        <f>'Part V-Revenues &amp; Expenses'!F17</f>
        <v>933</v>
      </c>
      <c r="G464" s="2577" t="str">
        <f>'Part V-Revenues &amp; Expenses'!G17</f>
        <v>NA</v>
      </c>
      <c r="H464" s="2577">
        <f>'Part V-Revenues &amp; Expenses'!H17</f>
        <v>1600</v>
      </c>
      <c r="I464" s="2577">
        <f>'Part V-Revenues &amp; Expenses'!I17</f>
        <v>0</v>
      </c>
      <c r="J464" s="2577">
        <f>'Part V-Revenues &amp; Expenses'!J17</f>
        <v>0</v>
      </c>
      <c r="K464" s="2578">
        <f>'Part V-Revenues &amp; Expenses'!K17</f>
        <v>0</v>
      </c>
      <c r="L464" s="2579">
        <f t="shared" si="1"/>
        <v>1600</v>
      </c>
      <c r="M464" s="2579">
        <f t="shared" si="2"/>
        <v>9600</v>
      </c>
      <c r="N464" s="2650" t="str">
        <f>'Part V-Revenues &amp; Expenses'!N17</f>
        <v>No</v>
      </c>
      <c r="O464" s="1320" t="str">
        <f>'Part V-Revenues &amp; Expenses'!O17</f>
        <v>High-Rise Elevator</v>
      </c>
      <c r="P464" s="2650" t="str">
        <f>'Part V-Revenues &amp; Expenses'!P17</f>
        <v>New Construction</v>
      </c>
      <c r="Q464" s="1895" t="str">
        <f>'Part V-Revenues &amp; Expenses'!Q17</f>
        <v>No</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f t="shared" si="40"/>
        <v>6</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f t="shared" si="155"/>
        <v>5598</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f t="shared" si="175"/>
        <v>6</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f t="shared" si="215"/>
        <v>6</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f t="shared" si="285"/>
        <v>6</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6</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5" t="str">
        <f t="shared" si="0"/>
        <v/>
      </c>
      <c r="B465" s="2574">
        <f>'Part V-Revenues &amp; Expenses'!B18</f>
        <v>50</v>
      </c>
      <c r="C465" s="2575">
        <f>'Part V-Revenues &amp; Expenses'!C18</f>
        <v>1</v>
      </c>
      <c r="D465" s="2576">
        <f>'Part V-Revenues &amp; Expenses'!D18</f>
        <v>1</v>
      </c>
      <c r="E465" s="2577">
        <f>'Part V-Revenues &amp; Expenses'!E18</f>
        <v>5</v>
      </c>
      <c r="F465" s="2577">
        <f>'Part V-Revenues &amp; Expenses'!F18</f>
        <v>668</v>
      </c>
      <c r="G465" s="2577">
        <f>'Part V-Revenues &amp; Expenses'!G18</f>
        <v>904</v>
      </c>
      <c r="H465" s="2577">
        <f>'Part V-Revenues &amp; Expenses'!H18</f>
        <v>904</v>
      </c>
      <c r="I465" s="2577">
        <f>'Part V-Revenues &amp; Expenses'!I18</f>
        <v>0</v>
      </c>
      <c r="J465" s="2577">
        <f>'Part V-Revenues &amp; Expenses'!J18</f>
        <v>60</v>
      </c>
      <c r="K465" s="2578">
        <f>'Part V-Revenues &amp; Expenses'!K18</f>
        <v>0</v>
      </c>
      <c r="L465" s="2579">
        <f t="shared" si="1"/>
        <v>844</v>
      </c>
      <c r="M465" s="2579">
        <f t="shared" si="2"/>
        <v>4220</v>
      </c>
      <c r="N465" s="2650" t="str">
        <f>'Part V-Revenues &amp; Expenses'!N18</f>
        <v>No</v>
      </c>
      <c r="O465" s="1320" t="str">
        <f>'Part V-Revenues &amp; Expenses'!O18</f>
        <v>High-Rise Elevator</v>
      </c>
      <c r="P465" s="2650" t="str">
        <f>'Part V-Revenues &amp; Expenses'!P18</f>
        <v>New Construction</v>
      </c>
      <c r="Q465" s="1895" t="str">
        <f>'Part V-Revenues &amp; Expenses'!Q18</f>
        <v>No</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3340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f t="shared" si="284"/>
        <v>5</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5</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5" t="str">
        <f t="shared" si="0"/>
        <v/>
      </c>
      <c r="B466" s="2574">
        <f>'Part V-Revenues &amp; Expenses'!B19</f>
        <v>50</v>
      </c>
      <c r="C466" s="2575">
        <f>'Part V-Revenues &amp; Expenses'!C19</f>
        <v>2</v>
      </c>
      <c r="D466" s="2576">
        <f>'Part V-Revenues &amp; Expenses'!D19</f>
        <v>2</v>
      </c>
      <c r="E466" s="2577">
        <f>'Part V-Revenues &amp; Expenses'!E19</f>
        <v>12</v>
      </c>
      <c r="F466" s="2577">
        <f>'Part V-Revenues &amp; Expenses'!F19</f>
        <v>933</v>
      </c>
      <c r="G466" s="2577">
        <f>'Part V-Revenues &amp; Expenses'!G19</f>
        <v>1085</v>
      </c>
      <c r="H466" s="2577">
        <f>'Part V-Revenues &amp; Expenses'!H19</f>
        <v>1085</v>
      </c>
      <c r="I466" s="2577">
        <f>'Part V-Revenues &amp; Expenses'!I19</f>
        <v>0</v>
      </c>
      <c r="J466" s="2577">
        <f>'Part V-Revenues &amp; Expenses'!J19</f>
        <v>81</v>
      </c>
      <c r="K466" s="2578">
        <f>'Part V-Revenues &amp; Expenses'!K19</f>
        <v>0</v>
      </c>
      <c r="L466" s="2579">
        <f t="shared" si="1"/>
        <v>1004</v>
      </c>
      <c r="M466" s="2579">
        <f t="shared" si="2"/>
        <v>12048</v>
      </c>
      <c r="N466" s="2650" t="str">
        <f>'Part V-Revenues &amp; Expenses'!N19</f>
        <v>No</v>
      </c>
      <c r="O466" s="1320" t="str">
        <f>'Part V-Revenues &amp; Expenses'!O19</f>
        <v>High-Rise Elevator</v>
      </c>
      <c r="P466" s="2650" t="str">
        <f>'Part V-Revenues &amp; Expenses'!P19</f>
        <v>New Construction</v>
      </c>
      <c r="Q466" s="1895" t="str">
        <f>'Part V-Revenues &amp; Expenses'!Q19</f>
        <v>No</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12</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11196</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12</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12</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f t="shared" si="285"/>
        <v>12</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12</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5" t="str">
        <f t="shared" si="0"/>
        <v/>
      </c>
      <c r="B467" s="2574">
        <f>'Part V-Revenues &amp; Expenses'!B20</f>
        <v>60</v>
      </c>
      <c r="C467" s="2575">
        <f>'Part V-Revenues &amp; Expenses'!C20</f>
        <v>1</v>
      </c>
      <c r="D467" s="2576">
        <f>'Part V-Revenues &amp; Expenses'!D20</f>
        <v>1</v>
      </c>
      <c r="E467" s="2577">
        <f>'Part V-Revenues &amp; Expenses'!E20</f>
        <v>13</v>
      </c>
      <c r="F467" s="2577">
        <f>'Part V-Revenues &amp; Expenses'!F20</f>
        <v>668</v>
      </c>
      <c r="G467" s="2577">
        <f>'Part V-Revenues &amp; Expenses'!G20</f>
        <v>1085</v>
      </c>
      <c r="H467" s="2577">
        <f>'Part V-Revenues &amp; Expenses'!H20</f>
        <v>1085</v>
      </c>
      <c r="I467" s="2577">
        <f>'Part V-Revenues &amp; Expenses'!I20</f>
        <v>0</v>
      </c>
      <c r="J467" s="2577">
        <f>'Part V-Revenues &amp; Expenses'!J20</f>
        <v>60</v>
      </c>
      <c r="K467" s="2578">
        <f>'Part V-Revenues &amp; Expenses'!K20</f>
        <v>0</v>
      </c>
      <c r="L467" s="2579">
        <f t="shared" si="1"/>
        <v>1025</v>
      </c>
      <c r="M467" s="2579">
        <f t="shared" si="2"/>
        <v>13325</v>
      </c>
      <c r="N467" s="2650" t="str">
        <f>'Part V-Revenues &amp; Expenses'!N20</f>
        <v>No</v>
      </c>
      <c r="O467" s="1320" t="str">
        <f>'Part V-Revenues &amp; Expenses'!O20</f>
        <v>High-Rise Elevator</v>
      </c>
      <c r="P467" s="2650" t="str">
        <f>'Part V-Revenues &amp; Expenses'!P20</f>
        <v>New Construction</v>
      </c>
      <c r="Q467" s="1895" t="str">
        <f>'Part V-Revenues &amp; Expenses'!Q20</f>
        <v>No</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13</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8684</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13</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13</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f t="shared" si="284"/>
        <v>13</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13</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5" t="str">
        <f t="shared" si="0"/>
        <v/>
      </c>
      <c r="B468" s="2574">
        <f>'Part V-Revenues &amp; Expenses'!B21</f>
        <v>60</v>
      </c>
      <c r="C468" s="2575">
        <f>'Part V-Revenues &amp; Expenses'!C21</f>
        <v>2</v>
      </c>
      <c r="D468" s="2576">
        <f>'Part V-Revenues &amp; Expenses'!D21</f>
        <v>2</v>
      </c>
      <c r="E468" s="2577">
        <f>'Part V-Revenues &amp; Expenses'!E21</f>
        <v>50</v>
      </c>
      <c r="F468" s="2577">
        <f>'Part V-Revenues &amp; Expenses'!F21</f>
        <v>933</v>
      </c>
      <c r="G468" s="2577">
        <f>'Part V-Revenues &amp; Expenses'!G21</f>
        <v>1302</v>
      </c>
      <c r="H468" s="2577">
        <f>'Part V-Revenues &amp; Expenses'!H21</f>
        <v>1302</v>
      </c>
      <c r="I468" s="2577">
        <f>'Part V-Revenues &amp; Expenses'!I21</f>
        <v>0</v>
      </c>
      <c r="J468" s="2577">
        <f>'Part V-Revenues &amp; Expenses'!J21</f>
        <v>81</v>
      </c>
      <c r="K468" s="2578">
        <f>'Part V-Revenues &amp; Expenses'!K21</f>
        <v>0</v>
      </c>
      <c r="L468" s="2579">
        <f t="shared" si="1"/>
        <v>1221</v>
      </c>
      <c r="M468" s="2579">
        <f t="shared" si="2"/>
        <v>61050</v>
      </c>
      <c r="N468" s="2650" t="str">
        <f>'Part V-Revenues &amp; Expenses'!N21</f>
        <v>No</v>
      </c>
      <c r="O468" s="1320" t="str">
        <f>'Part V-Revenues &amp; Expenses'!O21</f>
        <v>High-Rise Elevator</v>
      </c>
      <c r="P468" s="2650" t="str">
        <f>'Part V-Revenues &amp; Expenses'!P21</f>
        <v>New Construction</v>
      </c>
      <c r="Q468" s="1895" t="str">
        <f>'Part V-Revenues &amp; Expenses'!Q21</f>
        <v>No</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50</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46650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50</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50</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f t="shared" si="285"/>
        <v>50</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50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5" t="str">
        <f t="shared" si="0"/>
        <v/>
      </c>
      <c r="B469" s="2574">
        <f>'Part V-Revenues &amp; Expenses'!B22</f>
        <v>0</v>
      </c>
      <c r="C469" s="2575">
        <f>'Part V-Revenues &amp; Expenses'!C22</f>
        <v>0</v>
      </c>
      <c r="D469" s="2576">
        <f>'Part V-Revenues &amp; Expenses'!D22</f>
        <v>0</v>
      </c>
      <c r="E469" s="2577">
        <f>'Part V-Revenues &amp; Expenses'!E22</f>
        <v>0</v>
      </c>
      <c r="F469" s="2577">
        <f>'Part V-Revenues &amp; Expenses'!F22</f>
        <v>0</v>
      </c>
      <c r="G469" s="2577">
        <f>'Part V-Revenues &amp; Expenses'!G22</f>
        <v>0</v>
      </c>
      <c r="H469" s="2577">
        <f>'Part V-Revenues &amp; Expenses'!H22</f>
        <v>0</v>
      </c>
      <c r="I469" s="2577">
        <f>'Part V-Revenues &amp; Expenses'!I22</f>
        <v>0</v>
      </c>
      <c r="J469" s="2577">
        <f>'Part V-Revenues &amp; Expenses'!J22</f>
        <v>0</v>
      </c>
      <c r="K469" s="2578">
        <f>'Part V-Revenues &amp; Expenses'!K22</f>
        <v>0</v>
      </c>
      <c r="L469" s="2579">
        <f t="shared" si="1"/>
        <v>0</v>
      </c>
      <c r="M469" s="2579">
        <f t="shared" si="2"/>
        <v>0</v>
      </c>
      <c r="N469" s="2650">
        <f>'Part V-Revenues &amp; Expenses'!N22</f>
        <v>0</v>
      </c>
      <c r="O469" s="1320">
        <f>'Part V-Revenues &amp; Expenses'!O22</f>
        <v>0</v>
      </c>
      <c r="P469" s="2650">
        <f>'Part V-Revenues &amp; Expenses'!P22</f>
        <v>0</v>
      </c>
      <c r="Q469" s="1895">
        <f>'Part V-Revenues &amp; Expenses'!Q22</f>
        <v>0</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5" t="str">
        <f t="shared" si="0"/>
        <v/>
      </c>
      <c r="B470" s="2574">
        <f>'Part V-Revenues &amp; Expenses'!B23</f>
        <v>0</v>
      </c>
      <c r="C470" s="2575">
        <f>'Part V-Revenues &amp; Expenses'!C23</f>
        <v>0</v>
      </c>
      <c r="D470" s="2576">
        <f>'Part V-Revenues &amp; Expenses'!D23</f>
        <v>0</v>
      </c>
      <c r="E470" s="2577">
        <f>'Part V-Revenues &amp; Expenses'!E23</f>
        <v>0</v>
      </c>
      <c r="F470" s="2577">
        <f>'Part V-Revenues &amp; Expenses'!F23</f>
        <v>0</v>
      </c>
      <c r="G470" s="2577">
        <f>'Part V-Revenues &amp; Expenses'!G23</f>
        <v>0</v>
      </c>
      <c r="H470" s="2577">
        <f>'Part V-Revenues &amp; Expenses'!H23</f>
        <v>0</v>
      </c>
      <c r="I470" s="2577">
        <f>'Part V-Revenues &amp; Expenses'!I23</f>
        <v>0</v>
      </c>
      <c r="J470" s="2577">
        <f>'Part V-Revenues &amp; Expenses'!J23</f>
        <v>0</v>
      </c>
      <c r="K470" s="2578">
        <f>'Part V-Revenues &amp; Expenses'!K23</f>
        <v>0</v>
      </c>
      <c r="L470" s="2579">
        <f t="shared" si="1"/>
        <v>0</v>
      </c>
      <c r="M470" s="2579">
        <f t="shared" si="2"/>
        <v>0</v>
      </c>
      <c r="N470" s="2650">
        <f>'Part V-Revenues &amp; Expenses'!N23</f>
        <v>0</v>
      </c>
      <c r="O470" s="1320">
        <f>'Part V-Revenues &amp; Expenses'!O23</f>
        <v>0</v>
      </c>
      <c r="P470" s="2650">
        <f>'Part V-Revenues &amp; Expenses'!P23</f>
        <v>0</v>
      </c>
      <c r="Q470" s="1895">
        <f>'Part V-Revenues &amp; Expenses'!Q23</f>
        <v>0</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5" t="str">
        <f t="shared" si="0"/>
        <v/>
      </c>
      <c r="B471" s="2574">
        <f>'Part V-Revenues &amp; Expenses'!B24</f>
        <v>0</v>
      </c>
      <c r="C471" s="2575">
        <f>'Part V-Revenues &amp; Expenses'!C24</f>
        <v>0</v>
      </c>
      <c r="D471" s="2576">
        <f>'Part V-Revenues &amp; Expenses'!D24</f>
        <v>0</v>
      </c>
      <c r="E471" s="2577">
        <f>'Part V-Revenues &amp; Expenses'!E24</f>
        <v>0</v>
      </c>
      <c r="F471" s="2577">
        <f>'Part V-Revenues &amp; Expenses'!F24</f>
        <v>0</v>
      </c>
      <c r="G471" s="2577">
        <f>'Part V-Revenues &amp; Expenses'!G24</f>
        <v>0</v>
      </c>
      <c r="H471" s="2577">
        <f>'Part V-Revenues &amp; Expenses'!H24</f>
        <v>0</v>
      </c>
      <c r="I471" s="2577">
        <f>'Part V-Revenues &amp; Expenses'!I24</f>
        <v>0</v>
      </c>
      <c r="J471" s="2577">
        <f>'Part V-Revenues &amp; Expenses'!J24</f>
        <v>0</v>
      </c>
      <c r="K471" s="2578">
        <f>'Part V-Revenues &amp; Expenses'!K24</f>
        <v>0</v>
      </c>
      <c r="L471" s="2579">
        <f t="shared" si="1"/>
        <v>0</v>
      </c>
      <c r="M471" s="2579">
        <f t="shared" si="2"/>
        <v>0</v>
      </c>
      <c r="N471" s="2650">
        <f>'Part V-Revenues &amp; Expenses'!N24</f>
        <v>0</v>
      </c>
      <c r="O471" s="1320">
        <f>'Part V-Revenues &amp; Expenses'!O24</f>
        <v>0</v>
      </c>
      <c r="P471" s="2650">
        <f>'Part V-Revenues &amp; Expenses'!P24</f>
        <v>0</v>
      </c>
      <c r="Q471" s="1895">
        <f>'Part V-Revenues &amp; Expenses'!Q24</f>
        <v>0</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5" t="str">
        <f t="shared" si="0"/>
        <v/>
      </c>
      <c r="B472" s="2574">
        <f>'Part V-Revenues &amp; Expenses'!B25</f>
        <v>0</v>
      </c>
      <c r="C472" s="2575">
        <f>'Part V-Revenues &amp; Expenses'!C25</f>
        <v>0</v>
      </c>
      <c r="D472" s="2576">
        <f>'Part V-Revenues &amp; Expenses'!D25</f>
        <v>0</v>
      </c>
      <c r="E472" s="2577">
        <f>'Part V-Revenues &amp; Expenses'!E25</f>
        <v>0</v>
      </c>
      <c r="F472" s="2577">
        <f>'Part V-Revenues &amp; Expenses'!F25</f>
        <v>0</v>
      </c>
      <c r="G472" s="2577">
        <f>'Part V-Revenues &amp; Expenses'!G25</f>
        <v>0</v>
      </c>
      <c r="H472" s="2577">
        <f>'Part V-Revenues &amp; Expenses'!H25</f>
        <v>0</v>
      </c>
      <c r="I472" s="2577">
        <f>'Part V-Revenues &amp; Expenses'!I25</f>
        <v>0</v>
      </c>
      <c r="J472" s="2577">
        <f>'Part V-Revenues &amp; Expenses'!J25</f>
        <v>0</v>
      </c>
      <c r="K472" s="2578">
        <f>'Part V-Revenues &amp; Expenses'!K25</f>
        <v>0</v>
      </c>
      <c r="L472" s="2579">
        <f t="shared" si="1"/>
        <v>0</v>
      </c>
      <c r="M472" s="2579">
        <f t="shared" si="2"/>
        <v>0</v>
      </c>
      <c r="N472" s="2650">
        <f>'Part V-Revenues &amp; Expenses'!N25</f>
        <v>0</v>
      </c>
      <c r="O472" s="1320">
        <f>'Part V-Revenues &amp; Expenses'!O25</f>
        <v>0</v>
      </c>
      <c r="P472" s="2650">
        <f>'Part V-Revenues &amp; Expenses'!P25</f>
        <v>0</v>
      </c>
      <c r="Q472" s="1895">
        <f>'Part V-Revenues &amp; Expenses'!Q25</f>
        <v>0</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5" t="str">
        <f t="shared" si="0"/>
        <v/>
      </c>
      <c r="B473" s="2574">
        <f>'Part V-Revenues &amp; Expenses'!B26</f>
        <v>0</v>
      </c>
      <c r="C473" s="2575">
        <f>'Part V-Revenues &amp; Expenses'!C26</f>
        <v>0</v>
      </c>
      <c r="D473" s="2576">
        <f>'Part V-Revenues &amp; Expenses'!D26</f>
        <v>0</v>
      </c>
      <c r="E473" s="2577">
        <f>'Part V-Revenues &amp; Expenses'!E26</f>
        <v>0</v>
      </c>
      <c r="F473" s="2577">
        <f>'Part V-Revenues &amp; Expenses'!F26</f>
        <v>0</v>
      </c>
      <c r="G473" s="2577">
        <f>'Part V-Revenues &amp; Expenses'!G26</f>
        <v>0</v>
      </c>
      <c r="H473" s="2577">
        <f>'Part V-Revenues &amp; Expenses'!H26</f>
        <v>0</v>
      </c>
      <c r="I473" s="2577">
        <f>'Part V-Revenues &amp; Expenses'!I26</f>
        <v>0</v>
      </c>
      <c r="J473" s="2577">
        <f>'Part V-Revenues &amp; Expenses'!J26</f>
        <v>0</v>
      </c>
      <c r="K473" s="2578">
        <f>'Part V-Revenues &amp; Expenses'!K26</f>
        <v>0</v>
      </c>
      <c r="L473" s="2579">
        <f t="shared" si="1"/>
        <v>0</v>
      </c>
      <c r="M473" s="2579">
        <f t="shared" si="2"/>
        <v>0</v>
      </c>
      <c r="N473" s="2650">
        <f>'Part V-Revenues &amp; Expenses'!N26</f>
        <v>0</v>
      </c>
      <c r="O473" s="1320">
        <f>'Part V-Revenues &amp; Expenses'!O26</f>
        <v>0</v>
      </c>
      <c r="P473" s="2650">
        <f>'Part V-Revenues &amp; Expenses'!P26</f>
        <v>0</v>
      </c>
      <c r="Q473" s="1895">
        <f>'Part V-Revenues &amp; Expenses'!Q26</f>
        <v>0</v>
      </c>
      <c r="R473" s="2781"/>
      <c r="S473" s="2782"/>
      <c r="T473" s="2783"/>
      <c r="U473" s="2783"/>
      <c r="V473" s="2783"/>
      <c r="W473" s="2783"/>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5" t="str">
        <f t="shared" si="0"/>
        <v/>
      </c>
      <c r="B474" s="2574">
        <f>'Part V-Revenues &amp; Expenses'!B27</f>
        <v>0</v>
      </c>
      <c r="C474" s="2575">
        <f>'Part V-Revenues &amp; Expenses'!C27</f>
        <v>0</v>
      </c>
      <c r="D474" s="2576">
        <f>'Part V-Revenues &amp; Expenses'!D27</f>
        <v>0</v>
      </c>
      <c r="E474" s="2577">
        <f>'Part V-Revenues &amp; Expenses'!E27</f>
        <v>0</v>
      </c>
      <c r="F474" s="2577">
        <f>'Part V-Revenues &amp; Expenses'!F27</f>
        <v>0</v>
      </c>
      <c r="G474" s="2577">
        <f>'Part V-Revenues &amp; Expenses'!G27</f>
        <v>0</v>
      </c>
      <c r="H474" s="2577">
        <f>'Part V-Revenues &amp; Expenses'!H27</f>
        <v>0</v>
      </c>
      <c r="I474" s="2577">
        <f>'Part V-Revenues &amp; Expenses'!I27</f>
        <v>0</v>
      </c>
      <c r="J474" s="2577">
        <f>'Part V-Revenues &amp; Expenses'!J27</f>
        <v>0</v>
      </c>
      <c r="K474" s="2578">
        <f>'Part V-Revenues &amp; Expenses'!K27</f>
        <v>0</v>
      </c>
      <c r="L474" s="2579">
        <f t="shared" si="1"/>
        <v>0</v>
      </c>
      <c r="M474" s="2579">
        <f t="shared" si="2"/>
        <v>0</v>
      </c>
      <c r="N474" s="2650">
        <f>'Part V-Revenues &amp; Expenses'!N27</f>
        <v>0</v>
      </c>
      <c r="O474" s="1320">
        <f>'Part V-Revenues &amp; Expenses'!O27</f>
        <v>0</v>
      </c>
      <c r="P474" s="2650">
        <f>'Part V-Revenues &amp; Expenses'!P27</f>
        <v>0</v>
      </c>
      <c r="Q474" s="1895">
        <f>'Part V-Revenues &amp; Expenses'!Q27</f>
        <v>0</v>
      </c>
      <c r="R474" s="2781"/>
      <c r="S474" s="2782"/>
      <c r="T474" s="2783"/>
      <c r="U474" s="2783"/>
      <c r="V474" s="2783"/>
      <c r="W474" s="2783"/>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5" t="str">
        <f t="shared" si="0"/>
        <v/>
      </c>
      <c r="B475" s="2574">
        <f>'Part V-Revenues &amp; Expenses'!B28</f>
        <v>0</v>
      </c>
      <c r="C475" s="2575">
        <f>'Part V-Revenues &amp; Expenses'!C28</f>
        <v>0</v>
      </c>
      <c r="D475" s="2576">
        <f>'Part V-Revenues &amp; Expenses'!D28</f>
        <v>0</v>
      </c>
      <c r="E475" s="2577">
        <f>'Part V-Revenues &amp; Expenses'!E28</f>
        <v>0</v>
      </c>
      <c r="F475" s="2577">
        <f>'Part V-Revenues &amp; Expenses'!F28</f>
        <v>0</v>
      </c>
      <c r="G475" s="2577">
        <f>'Part V-Revenues &amp; Expenses'!G28</f>
        <v>0</v>
      </c>
      <c r="H475" s="2577">
        <f>'Part V-Revenues &amp; Expenses'!H28</f>
        <v>0</v>
      </c>
      <c r="I475" s="2577">
        <f>'Part V-Revenues &amp; Expenses'!I28</f>
        <v>0</v>
      </c>
      <c r="J475" s="2577">
        <f>'Part V-Revenues &amp; Expenses'!J28</f>
        <v>0</v>
      </c>
      <c r="K475" s="2578">
        <f>'Part V-Revenues &amp; Expenses'!K28</f>
        <v>0</v>
      </c>
      <c r="L475" s="2579">
        <f t="shared" si="1"/>
        <v>0</v>
      </c>
      <c r="M475" s="2579">
        <f t="shared" si="2"/>
        <v>0</v>
      </c>
      <c r="N475" s="2650">
        <f>'Part V-Revenues &amp; Expenses'!N28</f>
        <v>0</v>
      </c>
      <c r="O475" s="1320">
        <f>'Part V-Revenues &amp; Expenses'!O28</f>
        <v>0</v>
      </c>
      <c r="P475" s="2650">
        <f>'Part V-Revenues &amp; Expenses'!P28</f>
        <v>0</v>
      </c>
      <c r="Q475" s="1895">
        <f>'Part V-Revenues &amp; Expenses'!Q28</f>
        <v>0</v>
      </c>
      <c r="R475" s="2781"/>
      <c r="S475" s="2782"/>
      <c r="T475" s="2783"/>
      <c r="U475" s="2783"/>
      <c r="V475" s="2783"/>
      <c r="W475" s="2783"/>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5" t="str">
        <f t="shared" si="0"/>
        <v/>
      </c>
      <c r="B476" s="2574">
        <f>'Part V-Revenues &amp; Expenses'!B29</f>
        <v>0</v>
      </c>
      <c r="C476" s="2575">
        <f>'Part V-Revenues &amp; Expenses'!C29</f>
        <v>0</v>
      </c>
      <c r="D476" s="2576">
        <f>'Part V-Revenues &amp; Expenses'!D29</f>
        <v>0</v>
      </c>
      <c r="E476" s="2577">
        <f>'Part V-Revenues &amp; Expenses'!E29</f>
        <v>0</v>
      </c>
      <c r="F476" s="2577">
        <f>'Part V-Revenues &amp; Expenses'!F29</f>
        <v>0</v>
      </c>
      <c r="G476" s="2577">
        <f>'Part V-Revenues &amp; Expenses'!G29</f>
        <v>0</v>
      </c>
      <c r="H476" s="2577">
        <f>'Part V-Revenues &amp; Expenses'!H29</f>
        <v>0</v>
      </c>
      <c r="I476" s="2577">
        <f>'Part V-Revenues &amp; Expenses'!I29</f>
        <v>0</v>
      </c>
      <c r="J476" s="2577">
        <f>'Part V-Revenues &amp; Expenses'!J29</f>
        <v>0</v>
      </c>
      <c r="K476" s="2578">
        <f>'Part V-Revenues &amp; Expenses'!K29</f>
        <v>0</v>
      </c>
      <c r="L476" s="2579">
        <f t="shared" si="1"/>
        <v>0</v>
      </c>
      <c r="M476" s="2579">
        <f t="shared" si="2"/>
        <v>0</v>
      </c>
      <c r="N476" s="2650">
        <f>'Part V-Revenues &amp; Expenses'!N29</f>
        <v>0</v>
      </c>
      <c r="O476" s="1320">
        <f>'Part V-Revenues &amp; Expenses'!O29</f>
        <v>0</v>
      </c>
      <c r="P476" s="2650">
        <f>'Part V-Revenues &amp; Expenses'!P29</f>
        <v>0</v>
      </c>
      <c r="Q476" s="1895">
        <f>'Part V-Revenues &amp; Expenses'!Q29</f>
        <v>0</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5" t="str">
        <f t="shared" si="0"/>
        <v/>
      </c>
      <c r="B477" s="2574">
        <f>'Part V-Revenues &amp; Expenses'!B30</f>
        <v>0</v>
      </c>
      <c r="C477" s="2575">
        <f>'Part V-Revenues &amp; Expenses'!C30</f>
        <v>0</v>
      </c>
      <c r="D477" s="2576">
        <f>'Part V-Revenues &amp; Expenses'!D30</f>
        <v>0</v>
      </c>
      <c r="E477" s="2577">
        <f>'Part V-Revenues &amp; Expenses'!E30</f>
        <v>0</v>
      </c>
      <c r="F477" s="2577">
        <f>'Part V-Revenues &amp; Expenses'!F30</f>
        <v>0</v>
      </c>
      <c r="G477" s="2577">
        <f>'Part V-Revenues &amp; Expenses'!G30</f>
        <v>0</v>
      </c>
      <c r="H477" s="2577">
        <f>'Part V-Revenues &amp; Expenses'!H30</f>
        <v>0</v>
      </c>
      <c r="I477" s="2577">
        <f>'Part V-Revenues &amp; Expenses'!I30</f>
        <v>0</v>
      </c>
      <c r="J477" s="2577">
        <f>'Part V-Revenues &amp; Expenses'!J30</f>
        <v>0</v>
      </c>
      <c r="K477" s="2578">
        <f>'Part V-Revenues &amp; Expenses'!K30</f>
        <v>0</v>
      </c>
      <c r="L477" s="2579">
        <f t="shared" si="1"/>
        <v>0</v>
      </c>
      <c r="M477" s="2579">
        <f t="shared" si="2"/>
        <v>0</v>
      </c>
      <c r="N477" s="2650">
        <f>'Part V-Revenues &amp; Expenses'!N30</f>
        <v>0</v>
      </c>
      <c r="O477" s="1320">
        <f>'Part V-Revenues &amp; Expenses'!O30</f>
        <v>0</v>
      </c>
      <c r="P477" s="2650">
        <f>'Part V-Revenues &amp; Expenses'!P30</f>
        <v>0</v>
      </c>
      <c r="Q477" s="1895">
        <f>'Part V-Revenues &amp; Expenses'!Q30</f>
        <v>0</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5" t="str">
        <f t="shared" si="0"/>
        <v/>
      </c>
      <c r="B478" s="2574">
        <f>'Part V-Revenues &amp; Expenses'!B31</f>
        <v>0</v>
      </c>
      <c r="C478" s="2575">
        <f>'Part V-Revenues &amp; Expenses'!C31</f>
        <v>0</v>
      </c>
      <c r="D478" s="2576">
        <f>'Part V-Revenues &amp; Expenses'!D31</f>
        <v>0</v>
      </c>
      <c r="E478" s="2577">
        <f>'Part V-Revenues &amp; Expenses'!E31</f>
        <v>0</v>
      </c>
      <c r="F478" s="2577">
        <f>'Part V-Revenues &amp; Expenses'!F31</f>
        <v>0</v>
      </c>
      <c r="G478" s="2577">
        <f>'Part V-Revenues &amp; Expenses'!G31</f>
        <v>0</v>
      </c>
      <c r="H478" s="2577">
        <f>'Part V-Revenues &amp; Expenses'!H31</f>
        <v>0</v>
      </c>
      <c r="I478" s="2577">
        <f>'Part V-Revenues &amp; Expenses'!I31</f>
        <v>0</v>
      </c>
      <c r="J478" s="2577">
        <f>'Part V-Revenues &amp; Expenses'!J31</f>
        <v>0</v>
      </c>
      <c r="K478" s="2578">
        <f>'Part V-Revenues &amp; Expenses'!K31</f>
        <v>0</v>
      </c>
      <c r="L478" s="2579">
        <f t="shared" si="1"/>
        <v>0</v>
      </c>
      <c r="M478" s="2579">
        <f t="shared" si="2"/>
        <v>0</v>
      </c>
      <c r="N478" s="2650">
        <f>'Part V-Revenues &amp; Expenses'!N31</f>
        <v>0</v>
      </c>
      <c r="O478" s="1320">
        <f>'Part V-Revenues &amp; Expenses'!O31</f>
        <v>0</v>
      </c>
      <c r="P478" s="2650">
        <f>'Part V-Revenues &amp; Expenses'!P31</f>
        <v>0</v>
      </c>
      <c r="Q478" s="1895">
        <f>'Part V-Revenues &amp; Expenses'!Q31</f>
        <v>0</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5" t="str">
        <f t="shared" si="0"/>
        <v/>
      </c>
      <c r="B479" s="2574">
        <f>'Part V-Revenues &amp; Expenses'!B32</f>
        <v>0</v>
      </c>
      <c r="C479" s="2575">
        <f>'Part V-Revenues &amp; Expenses'!C32</f>
        <v>0</v>
      </c>
      <c r="D479" s="2576">
        <f>'Part V-Revenues &amp; Expenses'!D32</f>
        <v>0</v>
      </c>
      <c r="E479" s="2577">
        <f>'Part V-Revenues &amp; Expenses'!E32</f>
        <v>0</v>
      </c>
      <c r="F479" s="2577">
        <f>'Part V-Revenues &amp; Expenses'!F32</f>
        <v>0</v>
      </c>
      <c r="G479" s="2577">
        <f>'Part V-Revenues &amp; Expenses'!G32</f>
        <v>0</v>
      </c>
      <c r="H479" s="2577">
        <f>'Part V-Revenues &amp; Expenses'!H32</f>
        <v>0</v>
      </c>
      <c r="I479" s="2577">
        <f>'Part V-Revenues &amp; Expenses'!I32</f>
        <v>0</v>
      </c>
      <c r="J479" s="2577">
        <f>'Part V-Revenues &amp; Expenses'!J32</f>
        <v>0</v>
      </c>
      <c r="K479" s="2578">
        <f>'Part V-Revenues &amp; Expenses'!K32</f>
        <v>0</v>
      </c>
      <c r="L479" s="2579">
        <f t="shared" si="1"/>
        <v>0</v>
      </c>
      <c r="M479" s="2579">
        <f t="shared" si="2"/>
        <v>0</v>
      </c>
      <c r="N479" s="2650">
        <f>'Part V-Revenues &amp; Expenses'!N32</f>
        <v>0</v>
      </c>
      <c r="O479" s="1320">
        <f>'Part V-Revenues &amp; Expenses'!O32</f>
        <v>0</v>
      </c>
      <c r="P479" s="2650">
        <f>'Part V-Revenues &amp; Expenses'!P32</f>
        <v>0</v>
      </c>
      <c r="Q479" s="1895">
        <f>'Part V-Revenues &amp; Expenses'!Q32</f>
        <v>0</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5" t="str">
        <f t="shared" si="0"/>
        <v/>
      </c>
      <c r="B480" s="2574">
        <f>'Part V-Revenues &amp; Expenses'!B33</f>
        <v>0</v>
      </c>
      <c r="C480" s="2575">
        <f>'Part V-Revenues &amp; Expenses'!C33</f>
        <v>0</v>
      </c>
      <c r="D480" s="2576">
        <f>'Part V-Revenues &amp; Expenses'!D33</f>
        <v>0</v>
      </c>
      <c r="E480" s="2577">
        <f>'Part V-Revenues &amp; Expenses'!E33</f>
        <v>0</v>
      </c>
      <c r="F480" s="2577">
        <f>'Part V-Revenues &amp; Expenses'!F33</f>
        <v>0</v>
      </c>
      <c r="G480" s="2577">
        <f>'Part V-Revenues &amp; Expenses'!G33</f>
        <v>0</v>
      </c>
      <c r="H480" s="2577">
        <f>'Part V-Revenues &amp; Expenses'!H33</f>
        <v>0</v>
      </c>
      <c r="I480" s="2577">
        <f>'Part V-Revenues &amp; Expenses'!I33</f>
        <v>0</v>
      </c>
      <c r="J480" s="2577">
        <f>'Part V-Revenues &amp; Expenses'!J33</f>
        <v>0</v>
      </c>
      <c r="K480" s="2578">
        <f>'Part V-Revenues &amp; Expenses'!K33</f>
        <v>0</v>
      </c>
      <c r="L480" s="2579">
        <f t="shared" si="1"/>
        <v>0</v>
      </c>
      <c r="M480" s="2579">
        <f t="shared" si="2"/>
        <v>0</v>
      </c>
      <c r="N480" s="2650">
        <f>'Part V-Revenues &amp; Expenses'!N33</f>
        <v>0</v>
      </c>
      <c r="O480" s="1320">
        <f>'Part V-Revenues &amp; Expenses'!O33</f>
        <v>0</v>
      </c>
      <c r="P480" s="2650">
        <f>'Part V-Revenues &amp; Expenses'!P33</f>
        <v>0</v>
      </c>
      <c r="Q480" s="1895">
        <f>'Part V-Revenues &amp; Expenses'!Q33</f>
        <v>0</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20">
        <f>'Part V-Revenues &amp; Expenses'!O34</f>
        <v>0</v>
      </c>
      <c r="P481" s="2650">
        <f>'Part V-Revenues &amp; Expenses'!P34</f>
        <v>0</v>
      </c>
      <c r="Q481" s="1895">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20">
        <f>'Part V-Revenues &amp; Expenses'!O35</f>
        <v>0</v>
      </c>
      <c r="P482" s="2650">
        <f>'Part V-Revenues &amp; Expenses'!P35</f>
        <v>0</v>
      </c>
      <c r="Q482" s="1895">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20">
        <f>'Part V-Revenues &amp; Expenses'!O36</f>
        <v>0</v>
      </c>
      <c r="P483" s="2650">
        <f>'Part V-Revenues &amp; Expenses'!P36</f>
        <v>0</v>
      </c>
      <c r="Q483" s="1895">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20">
        <f>'Part V-Revenues &amp; Expenses'!O37</f>
        <v>0</v>
      </c>
      <c r="P484" s="2650">
        <f>'Part V-Revenues &amp; Expenses'!P37</f>
        <v>0</v>
      </c>
      <c r="Q484" s="1895">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20">
        <f>'Part V-Revenues &amp; Expenses'!O38</f>
        <v>0</v>
      </c>
      <c r="P485" s="2650">
        <f>'Part V-Revenues &amp; Expenses'!P38</f>
        <v>0</v>
      </c>
      <c r="Q485" s="1895">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20">
        <f>'Part V-Revenues &amp; Expenses'!O39</f>
        <v>0</v>
      </c>
      <c r="P486" s="2650">
        <f>'Part V-Revenues &amp; Expenses'!P39</f>
        <v>0</v>
      </c>
      <c r="Q486" s="1895">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20">
        <f>'Part V-Revenues &amp; Expenses'!O40</f>
        <v>0</v>
      </c>
      <c r="P487" s="2650">
        <f>'Part V-Revenues &amp; Expenses'!P40</f>
        <v>0</v>
      </c>
      <c r="Q487" s="1895">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20">
        <f>'Part V-Revenues &amp; Expenses'!O41</f>
        <v>0</v>
      </c>
      <c r="P488" s="2650">
        <f>'Part V-Revenues &amp; Expenses'!P41</f>
        <v>0</v>
      </c>
      <c r="Q488" s="1895">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20">
        <f>'Part V-Revenues &amp; Expenses'!O42</f>
        <v>0</v>
      </c>
      <c r="P489" s="2650">
        <f>'Part V-Revenues &amp; Expenses'!P42</f>
        <v>0</v>
      </c>
      <c r="Q489" s="1895">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20">
        <f>'Part V-Revenues &amp; Expenses'!O43</f>
        <v>0</v>
      </c>
      <c r="P490" s="2650">
        <f>'Part V-Revenues &amp; Expenses'!P43</f>
        <v>0</v>
      </c>
      <c r="Q490" s="1895">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20">
        <f>'Part V-Revenues &amp; Expenses'!O44</f>
        <v>0</v>
      </c>
      <c r="P491" s="2650">
        <f>'Part V-Revenues &amp; Expenses'!P44</f>
        <v>0</v>
      </c>
      <c r="Q491" s="1895">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20">
        <f>'Part V-Revenues &amp; Expenses'!O45</f>
        <v>0</v>
      </c>
      <c r="P492" s="2650">
        <f>'Part V-Revenues &amp; Expenses'!P45</f>
        <v>0</v>
      </c>
      <c r="Q492" s="1895">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20">
        <f>'Part V-Revenues &amp; Expenses'!O46</f>
        <v>0</v>
      </c>
      <c r="P493" s="2650">
        <f>'Part V-Revenues &amp; Expenses'!P46</f>
        <v>0</v>
      </c>
      <c r="Q493" s="1895">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20">
        <f>'Part V-Revenues &amp; Expenses'!O47</f>
        <v>0</v>
      </c>
      <c r="P494" s="2650">
        <f>'Part V-Revenues &amp; Expenses'!P47</f>
        <v>0</v>
      </c>
      <c r="Q494" s="1895">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20">
        <f>'Part V-Revenues &amp; Expenses'!O48</f>
        <v>0</v>
      </c>
      <c r="P495" s="2650">
        <f>'Part V-Revenues &amp; Expenses'!P48</f>
        <v>0</v>
      </c>
      <c r="Q495" s="1895">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5">
        <f>COUNT(A458,A459,A460,A461,A462,A463,A464,A465,A466,A467,A468,A469,A470,A471,A472,A473,A474,A475,A476,A477,A478,A479,A480,A481,A482,A483,A484,A485,A486,A487)</f>
        <v>0</v>
      </c>
      <c r="B496" s="2784" t="s">
        <v>3768</v>
      </c>
      <c r="C496" s="2784"/>
      <c r="D496" s="2785" t="s">
        <v>954</v>
      </c>
      <c r="E496" s="2580">
        <f>SUM(E458:E495)</f>
        <v>90</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78140</v>
      </c>
      <c r="H496" s="2582" t="s">
        <v>3765</v>
      </c>
      <c r="I496" s="2786" t="s">
        <v>3766</v>
      </c>
      <c r="J496" s="2583" t="str">
        <f>IF(P514=0,"",IF(SUM(P505:P509)/P514&gt;=0.4,"Pass","Fail"))</f>
        <v>Pass</v>
      </c>
      <c r="K496" s="363"/>
      <c r="L496" s="2787" t="s">
        <v>1225</v>
      </c>
      <c r="M496" s="2584">
        <f>SUM(M458:M495)</f>
        <v>105843</v>
      </c>
      <c r="N496" s="359"/>
      <c r="O496" s="359"/>
      <c r="P496" s="359"/>
      <c r="Q496" s="359"/>
      <c r="R496" s="359"/>
      <c r="S496" s="359"/>
      <c r="T496" s="359"/>
      <c r="U496" s="359"/>
      <c r="V496" s="2764"/>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13</v>
      </c>
      <c r="AJ496" s="1749">
        <f t="shared" si="338"/>
        <v>50</v>
      </c>
      <c r="AK496" s="1749">
        <f t="shared" si="338"/>
        <v>0</v>
      </c>
      <c r="AL496" s="1749">
        <f t="shared" si="338"/>
        <v>0</v>
      </c>
      <c r="AM496" s="1749">
        <f>SUM(AM458:AM495)</f>
        <v>0</v>
      </c>
      <c r="AN496" s="1749">
        <f>SUM(AN458:AN495)</f>
        <v>5</v>
      </c>
      <c r="AO496" s="1749">
        <f>SUM(AO458:AO495)</f>
        <v>12</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4</v>
      </c>
      <c r="BI496" s="1749">
        <f t="shared" si="338"/>
        <v>6</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8684</v>
      </c>
      <c r="EU496" s="1749">
        <f t="shared" si="338"/>
        <v>46650</v>
      </c>
      <c r="EV496" s="1749">
        <f t="shared" si="338"/>
        <v>0</v>
      </c>
      <c r="EW496" s="1749">
        <f t="shared" si="338"/>
        <v>0</v>
      </c>
      <c r="EX496" s="1749">
        <f t="shared" si="338"/>
        <v>0</v>
      </c>
      <c r="EY496" s="1749">
        <f t="shared" si="338"/>
        <v>3340</v>
      </c>
      <c r="EZ496" s="1749">
        <f t="shared" si="338"/>
        <v>11196</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2672</v>
      </c>
      <c r="FT496" s="1749">
        <f t="shared" si="340"/>
        <v>5598</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18</v>
      </c>
      <c r="GI496" s="1749">
        <f t="shared" si="340"/>
        <v>62</v>
      </c>
      <c r="GJ496" s="1749">
        <f t="shared" si="340"/>
        <v>0</v>
      </c>
      <c r="GK496" s="1749">
        <f t="shared" si="340"/>
        <v>0</v>
      </c>
      <c r="GL496" s="1749">
        <f t="shared" si="340"/>
        <v>0</v>
      </c>
      <c r="GM496" s="1749">
        <f t="shared" si="340"/>
        <v>4</v>
      </c>
      <c r="GN496" s="1749">
        <f t="shared" si="340"/>
        <v>6</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22</v>
      </c>
      <c r="IB496" s="1749">
        <f t="shared" si="341"/>
        <v>68</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22</v>
      </c>
      <c r="KT496" s="1749">
        <f>SUM(KT458:KT495)</f>
        <v>68</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22</v>
      </c>
      <c r="MM496" s="1749">
        <f t="shared" si="343"/>
        <v>68</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8">
        <f>'Part V-Revenues &amp; Expenses'!B50</f>
        <v>57.875</v>
      </c>
      <c r="C497" s="2788"/>
      <c r="D497" s="2755" t="s">
        <v>3675</v>
      </c>
      <c r="E497" s="2580">
        <f>SUM(E465:E495)</f>
        <v>80</v>
      </c>
      <c r="F497" s="2581">
        <f>(E465*F465+E466*F466+E467*F467+E468*F468+E469*F469+E470*F470+E471*F471+E472*F472+E473*F473+E474*F474+E475*F475+E476*F476+E477*F477+E478*F478+E479*F479+E480*F480+E481*F481+E482*F482+E483*F483+E484*F484+E485*F485+E486*F486+E487*F487+E488*F488+E489*F489+E490*F490+E491*F491+E492*F492+E493*F493+E494*F494+E495*F495)</f>
        <v>69870</v>
      </c>
      <c r="H497" s="2582"/>
      <c r="I497" s="2786" t="s">
        <v>3767</v>
      </c>
      <c r="J497" s="2583" t="str">
        <f>IF(P514=0,"",IF(SUM(P506:P509)/P514&gt;=0.2,"Pass","Fail"))</f>
        <v>Fail</v>
      </c>
      <c r="K497" s="363"/>
      <c r="L497" s="2785" t="s">
        <v>757</v>
      </c>
      <c r="M497" s="2584">
        <f>M496*12</f>
        <v>1270116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89" t="s">
        <v>6976</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1" t="s">
        <v>6641</v>
      </c>
      <c r="O500" s="2613" t="str">
        <f>'Part V-Revenues &amp; Expenses'!O53</f>
        <v>40% of Units at 60% of AMI</v>
      </c>
      <c r="P500" s="2613"/>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3" t="str">
        <f>'Part V-Revenues &amp; Expenses'!O54</f>
        <v>&lt;&lt; Select &gt;&gt;</v>
      </c>
      <c r="P501" s="2613"/>
      <c r="S501" s="361"/>
      <c r="T501" s="361"/>
      <c r="U501" s="2776"/>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2" t="s">
        <v>526</v>
      </c>
      <c r="L502" s="1897" t="s">
        <v>500</v>
      </c>
      <c r="M502" s="1897" t="s">
        <v>501</v>
      </c>
      <c r="N502" s="1897" t="s">
        <v>502</v>
      </c>
      <c r="O502" s="1897" t="s">
        <v>503</v>
      </c>
      <c r="P502" s="1897" t="s">
        <v>504</v>
      </c>
      <c r="S502" s="361" t="s">
        <v>1711</v>
      </c>
      <c r="T502" s="361"/>
      <c r="U502" s="2776"/>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3" t="s">
        <v>4075</v>
      </c>
      <c r="B503" s="2793"/>
      <c r="C503" s="359" t="s">
        <v>1069</v>
      </c>
      <c r="D503" s="359"/>
      <c r="E503" s="359"/>
      <c r="F503" s="359"/>
      <c r="H503" s="1503" t="s">
        <v>3676</v>
      </c>
      <c r="I503" s="362"/>
      <c r="K503" s="2585">
        <f>X496</f>
        <v>0</v>
      </c>
      <c r="L503" s="2585">
        <f>Y496</f>
        <v>0</v>
      </c>
      <c r="M503" s="2585">
        <f>Z496</f>
        <v>0</v>
      </c>
      <c r="N503" s="2585">
        <f>AA496</f>
        <v>0</v>
      </c>
      <c r="O503" s="2585">
        <f>AB496</f>
        <v>0</v>
      </c>
      <c r="P503" s="2585">
        <f t="shared" ref="P503:P514" si="344">SUM(K503:O503)</f>
        <v>0</v>
      </c>
      <c r="Q503" s="2708" t="s">
        <v>3184</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3"/>
      <c r="B504" s="2793"/>
      <c r="C504" s="359"/>
      <c r="D504" s="359"/>
      <c r="E504" s="359"/>
      <c r="F504" s="359"/>
      <c r="H504" s="1503" t="s">
        <v>3677</v>
      </c>
      <c r="I504" s="362"/>
      <c r="K504" s="2585">
        <f>AC496</f>
        <v>0</v>
      </c>
      <c r="L504" s="2585">
        <f>AD496</f>
        <v>0</v>
      </c>
      <c r="M504" s="2585">
        <f>AE496</f>
        <v>0</v>
      </c>
      <c r="N504" s="2585">
        <f>AF496</f>
        <v>0</v>
      </c>
      <c r="O504" s="2585">
        <f>AG496</f>
        <v>0</v>
      </c>
      <c r="P504" s="2585">
        <f t="shared" si="344"/>
        <v>0</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3"/>
      <c r="B505" s="2793"/>
      <c r="C505" s="359"/>
      <c r="D505" s="359"/>
      <c r="E505" s="359"/>
      <c r="F505" s="359"/>
      <c r="H505" s="1503" t="s">
        <v>1081</v>
      </c>
      <c r="I505" s="362"/>
      <c r="K505" s="2585">
        <f>AH496</f>
        <v>0</v>
      </c>
      <c r="L505" s="2585">
        <f>AI496</f>
        <v>13</v>
      </c>
      <c r="M505" s="2585">
        <f>AJ496</f>
        <v>50</v>
      </c>
      <c r="N505" s="2585">
        <f>AK496</f>
        <v>0</v>
      </c>
      <c r="O505" s="2585">
        <f>AL496</f>
        <v>0</v>
      </c>
      <c r="P505" s="2585">
        <f t="shared" si="344"/>
        <v>63</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3"/>
      <c r="B506" s="2793"/>
      <c r="C506" s="359"/>
      <c r="D506" s="359"/>
      <c r="E506" s="359"/>
      <c r="F506" s="359"/>
      <c r="H506" s="1503" t="s">
        <v>112</v>
      </c>
      <c r="I506" s="362"/>
      <c r="K506" s="2585">
        <f>AM496</f>
        <v>0</v>
      </c>
      <c r="L506" s="2585">
        <f>AN496</f>
        <v>5</v>
      </c>
      <c r="M506" s="2585">
        <f>AO496</f>
        <v>12</v>
      </c>
      <c r="N506" s="2585">
        <f>AP496</f>
        <v>0</v>
      </c>
      <c r="O506" s="2585">
        <f>AQ496</f>
        <v>0</v>
      </c>
      <c r="P506" s="2585">
        <f t="shared" si="344"/>
        <v>17</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3"/>
      <c r="B507" s="2793"/>
      <c r="C507" s="359"/>
      <c r="D507" s="359"/>
      <c r="E507" s="359"/>
      <c r="F507" s="359"/>
      <c r="H507" s="1503" t="s">
        <v>3678</v>
      </c>
      <c r="I507" s="362"/>
      <c r="K507" s="2585">
        <f>AR496</f>
        <v>0</v>
      </c>
      <c r="L507" s="2585">
        <f>AS496</f>
        <v>0</v>
      </c>
      <c r="M507" s="2585">
        <f>AT496</f>
        <v>0</v>
      </c>
      <c r="N507" s="2585">
        <f>AU496</f>
        <v>0</v>
      </c>
      <c r="O507" s="2585">
        <f>AV496</f>
        <v>0</v>
      </c>
      <c r="P507" s="2585">
        <f t="shared" si="344"/>
        <v>0</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3"/>
      <c r="B508" s="2793"/>
      <c r="C508" s="359"/>
      <c r="D508" s="359"/>
      <c r="E508" s="359"/>
      <c r="F508" s="359"/>
      <c r="H508" s="1503" t="s">
        <v>3679</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3"/>
      <c r="B509" s="2793"/>
      <c r="C509" s="1747"/>
      <c r="D509" s="359"/>
      <c r="E509" s="359"/>
      <c r="F509" s="359"/>
      <c r="H509" s="1503" t="s">
        <v>3680</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3"/>
      <c r="B510" s="2793"/>
      <c r="C510" s="1503" t="s">
        <v>3762</v>
      </c>
      <c r="D510" s="359"/>
      <c r="E510" s="359"/>
      <c r="F510" s="359"/>
      <c r="H510" s="360"/>
      <c r="I510" s="807"/>
      <c r="K510" s="2585">
        <f>SUM(K503:K509)</f>
        <v>0</v>
      </c>
      <c r="L510" s="2585">
        <f>SUM(L503:L509)</f>
        <v>18</v>
      </c>
      <c r="M510" s="2585">
        <f>SUM(M503:M509)</f>
        <v>62</v>
      </c>
      <c r="N510" s="2585">
        <f>SUM(N503:N509)</f>
        <v>0</v>
      </c>
      <c r="O510" s="2585">
        <f>SUM(O503:O509)</f>
        <v>0</v>
      </c>
      <c r="P510" s="2585">
        <f t="shared" si="344"/>
        <v>80</v>
      </c>
      <c r="Q510" s="2708"/>
      <c r="S510" s="2783"/>
      <c r="T510" s="2783"/>
      <c r="U510" s="2783"/>
      <c r="V510" s="2783"/>
      <c r="W510" s="2783"/>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3"/>
      <c r="B511" s="2793"/>
      <c r="D511" s="359"/>
      <c r="E511" s="359"/>
      <c r="F511" s="359"/>
      <c r="H511" s="1503" t="s">
        <v>290</v>
      </c>
      <c r="I511" s="362"/>
      <c r="K511" s="2585">
        <f>BG496</f>
        <v>0</v>
      </c>
      <c r="L511" s="2585">
        <f>BH496</f>
        <v>4</v>
      </c>
      <c r="M511" s="2585">
        <f>BI496</f>
        <v>6</v>
      </c>
      <c r="N511" s="2585">
        <f>BJ496</f>
        <v>0</v>
      </c>
      <c r="O511" s="2585">
        <f>BK496</f>
        <v>0</v>
      </c>
      <c r="P511" s="2585">
        <f t="shared" si="344"/>
        <v>10</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3"/>
      <c r="B512" s="2793"/>
      <c r="C512" s="2795" t="s">
        <v>1070</v>
      </c>
      <c r="D512" s="2795"/>
      <c r="E512" s="2795"/>
      <c r="F512" s="2795"/>
      <c r="G512" s="2796"/>
      <c r="H512" s="2797"/>
      <c r="I512" s="2798"/>
      <c r="J512" s="2796"/>
      <c r="K512" s="2586">
        <f>SUM(K510:K511)</f>
        <v>0</v>
      </c>
      <c r="L512" s="2586">
        <f>SUM(L510:L511)</f>
        <v>22</v>
      </c>
      <c r="M512" s="2586">
        <f>SUM(M510:M511)</f>
        <v>68</v>
      </c>
      <c r="N512" s="2586">
        <f>SUM(N510:N511)</f>
        <v>0</v>
      </c>
      <c r="O512" s="2586">
        <f>SUM(O510:O511)</f>
        <v>0</v>
      </c>
      <c r="P512" s="2586">
        <f t="shared" si="344"/>
        <v>90</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3"/>
      <c r="B513" s="2793"/>
      <c r="D513" s="359"/>
      <c r="E513" s="359"/>
      <c r="F513" s="359"/>
      <c r="H513" s="1503" t="s">
        <v>2309</v>
      </c>
      <c r="I513" s="362"/>
      <c r="K513" s="2585">
        <f>ED496</f>
        <v>0</v>
      </c>
      <c r="L513" s="2585">
        <f>EE496</f>
        <v>0</v>
      </c>
      <c r="M513" s="2585">
        <f>EF496</f>
        <v>0</v>
      </c>
      <c r="N513" s="2585">
        <f>EG496</f>
        <v>0</v>
      </c>
      <c r="O513" s="2585">
        <f>EH496</f>
        <v>0</v>
      </c>
      <c r="P513" s="2585">
        <f t="shared" si="344"/>
        <v>0</v>
      </c>
      <c r="Q513" s="2621" t="s">
        <v>3185</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3"/>
      <c r="B514" s="2793"/>
      <c r="C514" s="1747" t="s">
        <v>1667</v>
      </c>
      <c r="D514" s="359"/>
      <c r="E514" s="359"/>
      <c r="F514" s="359"/>
      <c r="H514" s="1503"/>
      <c r="I514" s="362"/>
      <c r="K514" s="2587">
        <f>SUM(K512:K513)</f>
        <v>0</v>
      </c>
      <c r="L514" s="2587">
        <f>SUM(L512:L513)</f>
        <v>22</v>
      </c>
      <c r="M514" s="2587">
        <f>SUM(M512:M513)</f>
        <v>68</v>
      </c>
      <c r="N514" s="2587">
        <f>SUM(N512:N513)</f>
        <v>0</v>
      </c>
      <c r="O514" s="2587">
        <f>SUM(O512:O513)</f>
        <v>0</v>
      </c>
      <c r="P514" s="2587">
        <f t="shared" si="344"/>
        <v>90</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3"/>
      <c r="B516" s="2793"/>
      <c r="C516" s="2799" t="s">
        <v>3771</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3"/>
      <c r="B517" s="2793"/>
      <c r="C517" s="2799"/>
      <c r="D517" s="2799"/>
      <c r="E517" s="2799"/>
      <c r="F517" s="2799"/>
      <c r="H517" s="1503" t="s">
        <v>3676</v>
      </c>
      <c r="I517" s="362"/>
      <c r="J517" s="2801"/>
      <c r="K517" s="2802" t="str">
        <f t="shared" ref="K517:P517" si="345">IF(OR(K503=0,K514=0),"",K503/K514)</f>
        <v/>
      </c>
      <c r="L517" s="2802" t="str">
        <f t="shared" si="345"/>
        <v/>
      </c>
      <c r="M517" s="2802" t="str">
        <f t="shared" si="345"/>
        <v/>
      </c>
      <c r="N517" s="2802" t="str">
        <f t="shared" si="345"/>
        <v/>
      </c>
      <c r="O517" s="2802" t="str">
        <f t="shared" si="345"/>
        <v/>
      </c>
      <c r="P517" s="2802" t="str">
        <f t="shared" si="345"/>
        <v/>
      </c>
      <c r="Q517" s="1877" t="s">
        <v>4069</v>
      </c>
      <c r="S517" s="2783"/>
      <c r="T517" s="2783"/>
      <c r="U517" s="2783"/>
      <c r="V517" s="2783"/>
      <c r="W517" s="2783"/>
    </row>
    <row r="518" spans="1:343">
      <c r="A518" s="2793"/>
      <c r="B518" s="2793"/>
      <c r="C518" s="2620"/>
      <c r="H518" s="1503" t="s">
        <v>6977</v>
      </c>
      <c r="I518" s="362"/>
      <c r="J518" s="359"/>
      <c r="K518" s="2803" t="str">
        <f>IF(OR(K503=0,P517="",K514=0),"",P517*K514)</f>
        <v/>
      </c>
      <c r="L518" s="2803" t="str">
        <f>IF(OR(L503=0,P517="",L514=0),"",P517*L514)</f>
        <v/>
      </c>
      <c r="M518" s="2803" t="str">
        <f>IF(OR(M503=0,P517="",M514=0),"",P517*M514)</f>
        <v/>
      </c>
      <c r="N518" s="2803" t="str">
        <f>IF(OR(N503=0,P517="",N514=0),"",P517*N514)</f>
        <v/>
      </c>
      <c r="O518" s="2803" t="str">
        <f>IF(OR(O503=0,P517="",O514=0),"",P517*O514)</f>
        <v/>
      </c>
      <c r="P518" s="2803" t="str">
        <f>IF(OR(P517="",P514=0),"",P517*P514)</f>
        <v/>
      </c>
      <c r="S518" s="2783"/>
      <c r="T518" s="2783"/>
      <c r="U518" s="2783"/>
      <c r="V518" s="2783"/>
      <c r="W518" s="2783"/>
    </row>
    <row r="519" spans="1:343">
      <c r="A519" s="2793"/>
      <c r="B519" s="2793"/>
      <c r="C519" s="2620"/>
      <c r="G519" s="2786"/>
      <c r="H519" s="1503" t="s">
        <v>6978</v>
      </c>
      <c r="I519" s="362"/>
      <c r="J519" s="359"/>
      <c r="K519" s="2803" t="str">
        <f t="shared" ref="K519:P519" si="346">IF(OR(K518="",K503=0),"", K503-K518)</f>
        <v/>
      </c>
      <c r="L519" s="2803" t="str">
        <f t="shared" si="346"/>
        <v/>
      </c>
      <c r="M519" s="2803" t="str">
        <f t="shared" si="346"/>
        <v/>
      </c>
      <c r="N519" s="2803" t="str">
        <f t="shared" si="346"/>
        <v/>
      </c>
      <c r="O519" s="2803" t="str">
        <f t="shared" si="346"/>
        <v/>
      </c>
      <c r="P519" s="2803" t="str">
        <f t="shared" si="346"/>
        <v/>
      </c>
      <c r="S519" s="2783"/>
      <c r="T519" s="2783"/>
      <c r="U519" s="2783"/>
      <c r="V519" s="2783"/>
      <c r="W519" s="2783"/>
    </row>
    <row r="520" spans="1:343" ht="12.75" customHeight="1">
      <c r="A520" s="2793"/>
      <c r="B520" s="2793"/>
      <c r="C520" s="2620"/>
      <c r="D520" s="2620" t="s">
        <v>6979</v>
      </c>
      <c r="E520" s="2620"/>
      <c r="F520" s="2620"/>
      <c r="H520" s="1503" t="s">
        <v>3677</v>
      </c>
      <c r="I520" s="362"/>
      <c r="J520" s="359"/>
      <c r="K520" s="2802" t="str">
        <f t="shared" ref="K520:P520" si="347">IF(OR(K504=0,K514=0),"",K504/K514)</f>
        <v/>
      </c>
      <c r="L520" s="2802" t="str">
        <f t="shared" si="347"/>
        <v/>
      </c>
      <c r="M520" s="2802" t="str">
        <f t="shared" si="347"/>
        <v/>
      </c>
      <c r="N520" s="2802" t="str">
        <f t="shared" si="347"/>
        <v/>
      </c>
      <c r="O520" s="2802" t="str">
        <f t="shared" si="347"/>
        <v/>
      </c>
      <c r="P520" s="2802" t="str">
        <f t="shared" si="347"/>
        <v/>
      </c>
      <c r="S520" s="2783"/>
      <c r="T520" s="2783"/>
      <c r="U520" s="2783"/>
      <c r="V520" s="2783"/>
      <c r="W520" s="2783"/>
    </row>
    <row r="521" spans="1:343">
      <c r="C521" s="2620"/>
      <c r="D521" s="2620"/>
      <c r="E521" s="2620"/>
      <c r="F521" s="2620"/>
      <c r="H521" s="1503" t="s">
        <v>6977</v>
      </c>
      <c r="I521" s="362"/>
      <c r="J521" s="359"/>
      <c r="K521" s="2803" t="str">
        <f>IF(OR(K504=0,P520="",K514=0),"",P520*K514)</f>
        <v/>
      </c>
      <c r="L521" s="2803" t="str">
        <f>IF(OR(L504=0,P520="",L514=0),"",P520*L514)</f>
        <v/>
      </c>
      <c r="M521" s="2803" t="str">
        <f>IF(OR(M504=0,P520="",M514=0),"",P520*M514)</f>
        <v/>
      </c>
      <c r="N521" s="2803" t="str">
        <f>IF(OR(N504=0,P520="",N514=0),"",P520*N514)</f>
        <v/>
      </c>
      <c r="O521" s="2803" t="str">
        <f>IF(OR(O504=0,P520="",O514=0),"",P520*O514)</f>
        <v/>
      </c>
      <c r="P521" s="2803" t="str">
        <f>IF(OR(P520="",P514=0),"",P520*P514)</f>
        <v/>
      </c>
      <c r="S521" s="2783"/>
      <c r="T521" s="2783"/>
      <c r="U521" s="2783"/>
      <c r="V521" s="2783"/>
      <c r="W521" s="2783"/>
    </row>
    <row r="522" spans="1:343">
      <c r="C522" s="2620"/>
      <c r="D522" s="2620"/>
      <c r="E522" s="2620"/>
      <c r="F522" s="2620"/>
      <c r="G522" s="2786"/>
      <c r="H522" s="1503" t="s">
        <v>6978</v>
      </c>
      <c r="I522" s="362"/>
      <c r="J522" s="359"/>
      <c r="K522" s="2803" t="str">
        <f t="shared" ref="K522:P522" si="348">IF(OR(K521="",K504=0),"", K504-K521)</f>
        <v/>
      </c>
      <c r="L522" s="2803" t="str">
        <f t="shared" si="348"/>
        <v/>
      </c>
      <c r="M522" s="2803" t="str">
        <f t="shared" si="348"/>
        <v/>
      </c>
      <c r="N522" s="2803" t="str">
        <f t="shared" si="348"/>
        <v/>
      </c>
      <c r="O522" s="2803" t="str">
        <f t="shared" si="348"/>
        <v/>
      </c>
      <c r="P522" s="2803" t="str">
        <f t="shared" si="348"/>
        <v/>
      </c>
      <c r="S522" s="2783"/>
      <c r="T522" s="2783"/>
      <c r="U522" s="2783"/>
      <c r="V522" s="2783"/>
      <c r="W522" s="2783"/>
    </row>
    <row r="523" spans="1:343">
      <c r="C523" s="2804" t="s">
        <v>4067</v>
      </c>
      <c r="D523" s="2620"/>
      <c r="E523" s="2620"/>
      <c r="F523" s="2620"/>
      <c r="H523" s="1503" t="s">
        <v>1081</v>
      </c>
      <c r="I523" s="362"/>
      <c r="J523" s="359"/>
      <c r="K523" s="2802" t="str">
        <f t="shared" ref="K523:P523" si="349">IF(OR(K505=0,K514=0),"",K505/K514)</f>
        <v/>
      </c>
      <c r="L523" s="2802">
        <f t="shared" si="349"/>
        <v>0.59090909090909094</v>
      </c>
      <c r="M523" s="2802">
        <f t="shared" si="349"/>
        <v>0.73529411764705888</v>
      </c>
      <c r="N523" s="2802" t="str">
        <f t="shared" si="349"/>
        <v/>
      </c>
      <c r="O523" s="2802" t="str">
        <f t="shared" si="349"/>
        <v/>
      </c>
      <c r="P523" s="2802">
        <f t="shared" si="349"/>
        <v>0.7</v>
      </c>
      <c r="S523" s="2783"/>
      <c r="T523" s="2783"/>
      <c r="U523" s="2783"/>
      <c r="V523" s="2783"/>
      <c r="W523" s="2783"/>
    </row>
    <row r="524" spans="1:343" ht="15.75" customHeight="1">
      <c r="C524" s="2804"/>
      <c r="D524" s="2620"/>
      <c r="E524" s="2620"/>
      <c r="F524" s="2620"/>
      <c r="H524" s="1503" t="s">
        <v>6977</v>
      </c>
      <c r="I524" s="362"/>
      <c r="J524" s="359"/>
      <c r="K524" s="2803" t="str">
        <f>IF(OR(K505=0,P523="",K514=0),"",P523*K514)</f>
        <v/>
      </c>
      <c r="L524" s="2803">
        <f>IF(OR(L505=0,P523="",L514=0),"",P523*L514)</f>
        <v>15.399999999999999</v>
      </c>
      <c r="M524" s="2803">
        <f>IF(OR(M505=0,P523="",M514=0),"",P523*M514)</f>
        <v>47.599999999999994</v>
      </c>
      <c r="N524" s="2803" t="str">
        <f>IF(OR(N505=0,P523="",N514=0),"",P523*N514)</f>
        <v/>
      </c>
      <c r="O524" s="2803" t="str">
        <f>IF(OR(O505=0,P523="",O514=0),"",P523*O514)</f>
        <v/>
      </c>
      <c r="P524" s="2803">
        <f>IF(OR(P523="",P514=0),"",P523*P514)</f>
        <v>62.999999999999993</v>
      </c>
      <c r="S524" s="2783"/>
      <c r="T524" s="2783"/>
      <c r="U524" s="2783"/>
      <c r="V524" s="2783"/>
      <c r="W524" s="2783"/>
    </row>
    <row r="525" spans="1:343" ht="15.75" customHeight="1">
      <c r="C525" s="2804"/>
      <c r="D525" s="2620"/>
      <c r="E525" s="2620"/>
      <c r="F525" s="2620"/>
      <c r="G525" s="2786"/>
      <c r="H525" s="1503" t="s">
        <v>6978</v>
      </c>
      <c r="I525" s="362"/>
      <c r="J525" s="359"/>
      <c r="K525" s="2803" t="str">
        <f t="shared" ref="K525:P525" si="350">IF(OR(K524="",K505=0),"", K505-K524)</f>
        <v/>
      </c>
      <c r="L525" s="2803">
        <f t="shared" si="350"/>
        <v>-2.3999999999999986</v>
      </c>
      <c r="M525" s="2803">
        <f t="shared" si="350"/>
        <v>2.4000000000000057</v>
      </c>
      <c r="N525" s="2803" t="str">
        <f t="shared" si="350"/>
        <v/>
      </c>
      <c r="O525" s="2803" t="str">
        <f t="shared" si="350"/>
        <v/>
      </c>
      <c r="P525" s="2803">
        <f t="shared" si="350"/>
        <v>7.1054273576010019E-15</v>
      </c>
    </row>
    <row r="526" spans="1:343">
      <c r="C526" s="2804" t="s">
        <v>4067</v>
      </c>
      <c r="D526" s="2804"/>
      <c r="E526" s="2804"/>
      <c r="H526" s="1503" t="s">
        <v>112</v>
      </c>
      <c r="I526" s="362"/>
      <c r="J526" s="359"/>
      <c r="K526" s="2802" t="str">
        <f t="shared" ref="K526:P526" si="351">IF(OR(K506=0,K514=0),"",K506/K514)</f>
        <v/>
      </c>
      <c r="L526" s="2802">
        <f t="shared" si="351"/>
        <v>0.22727272727272727</v>
      </c>
      <c r="M526" s="2802">
        <f t="shared" si="351"/>
        <v>0.17647058823529413</v>
      </c>
      <c r="N526" s="2802" t="str">
        <f t="shared" si="351"/>
        <v/>
      </c>
      <c r="O526" s="2802" t="str">
        <f t="shared" si="351"/>
        <v/>
      </c>
      <c r="P526" s="2802">
        <f t="shared" si="351"/>
        <v>0.18888888888888888</v>
      </c>
    </row>
    <row r="527" spans="1:343">
      <c r="C527" s="2804"/>
      <c r="D527" s="2804"/>
      <c r="E527" s="2804"/>
      <c r="H527" s="1503" t="s">
        <v>6977</v>
      </c>
      <c r="I527" s="362"/>
      <c r="J527" s="359"/>
      <c r="K527" s="2803" t="str">
        <f>IF(OR(K506=0,P526="",K514=0),"",P526*K514)</f>
        <v/>
      </c>
      <c r="L527" s="2803">
        <f>IF(OR(L506=0,P526="",L514=0),"",P526*L514)</f>
        <v>4.155555555555555</v>
      </c>
      <c r="M527" s="2803">
        <f>IF(OR(M506=0,P526="",M514=0),"",P526*M514)</f>
        <v>12.844444444444445</v>
      </c>
      <c r="N527" s="2803" t="str">
        <f>IF(OR(N506=0,P526="",N514=0),"",P526*N514)</f>
        <v/>
      </c>
      <c r="O527" s="2803" t="str">
        <f>IF(OR(O506=0,P526="",O514=0),"",P526*O514)</f>
        <v/>
      </c>
      <c r="P527" s="2803">
        <f>IF(OR(P526="",P514=0),"",P526*P514)</f>
        <v>17</v>
      </c>
    </row>
    <row r="528" spans="1:343">
      <c r="C528" s="2804"/>
      <c r="D528" s="2804"/>
      <c r="E528" s="2804"/>
      <c r="G528" s="2786"/>
      <c r="H528" s="1503" t="s">
        <v>6978</v>
      </c>
      <c r="I528" s="362"/>
      <c r="J528" s="359"/>
      <c r="K528" s="2803" t="str">
        <f t="shared" ref="K528:P528" si="352">IF(OR(K527="",K506=0),"", K506-K527)</f>
        <v/>
      </c>
      <c r="L528" s="2803">
        <f t="shared" si="352"/>
        <v>0.844444444444445</v>
      </c>
      <c r="M528" s="2803">
        <f t="shared" si="352"/>
        <v>-0.844444444444445</v>
      </c>
      <c r="N528" s="2803" t="str">
        <f t="shared" si="352"/>
        <v/>
      </c>
      <c r="O528" s="2803" t="str">
        <f t="shared" si="352"/>
        <v/>
      </c>
      <c r="P528" s="2803">
        <f t="shared" si="352"/>
        <v>0</v>
      </c>
    </row>
    <row r="529" spans="1:343">
      <c r="C529" s="2804" t="s">
        <v>4067</v>
      </c>
      <c r="D529" s="2804"/>
      <c r="E529" s="2804"/>
      <c r="H529" s="1503" t="s">
        <v>3678</v>
      </c>
      <c r="I529" s="362"/>
      <c r="J529" s="359"/>
      <c r="K529" s="2802" t="str">
        <f t="shared" ref="K529:P529" si="353">IF(OR(K507=0,K514=0),"",K507/K514)</f>
        <v/>
      </c>
      <c r="L529" s="2802" t="str">
        <f t="shared" si="353"/>
        <v/>
      </c>
      <c r="M529" s="2802" t="str">
        <f t="shared" si="353"/>
        <v/>
      </c>
      <c r="N529" s="2802" t="str">
        <f t="shared" si="353"/>
        <v/>
      </c>
      <c r="O529" s="2802" t="str">
        <f t="shared" si="353"/>
        <v/>
      </c>
      <c r="P529" s="2802" t="str">
        <f t="shared" si="353"/>
        <v/>
      </c>
    </row>
    <row r="530" spans="1:343">
      <c r="C530" s="2804"/>
      <c r="H530" s="1503" t="s">
        <v>6977</v>
      </c>
      <c r="I530" s="362"/>
      <c r="J530" s="359"/>
      <c r="K530" s="2803" t="str">
        <f>IF(OR(K507=0,P529="",K514=0),"",P529*K514)</f>
        <v/>
      </c>
      <c r="L530" s="2803" t="str">
        <f>IF(OR(L507=0,P529="",L514=0),"",P529*L514)</f>
        <v/>
      </c>
      <c r="M530" s="2803" t="str">
        <f>IF(OR(M507=0,P529="",M514=0),"",P529*M514)</f>
        <v/>
      </c>
      <c r="N530" s="2803" t="str">
        <f>IF(OR(N507=0,P529="",N514=0),"",P529*N514)</f>
        <v/>
      </c>
      <c r="O530" s="2803" t="str">
        <f>IF(OR(O507=0,P529="",O514=0),"",P529*O514)</f>
        <v/>
      </c>
      <c r="P530" s="2803" t="str">
        <f>IF(OR(P529="",P514=0),"",P529*P514)</f>
        <v/>
      </c>
    </row>
    <row r="531" spans="1:343">
      <c r="C531" s="2804"/>
      <c r="G531" s="2786"/>
      <c r="H531" s="1503" t="s">
        <v>6978</v>
      </c>
      <c r="I531" s="362"/>
      <c r="J531" s="359"/>
      <c r="K531" s="2803" t="str">
        <f t="shared" ref="K531:P531" si="354">IF(OR(K530="",K507=0),"", K507-K530)</f>
        <v/>
      </c>
      <c r="L531" s="2803" t="str">
        <f t="shared" si="354"/>
        <v/>
      </c>
      <c r="M531" s="2803" t="str">
        <f t="shared" si="354"/>
        <v/>
      </c>
      <c r="N531" s="2803" t="str">
        <f t="shared" si="354"/>
        <v/>
      </c>
      <c r="O531" s="2803" t="str">
        <f t="shared" si="354"/>
        <v/>
      </c>
      <c r="P531" s="2803" t="str">
        <f t="shared" si="354"/>
        <v/>
      </c>
    </row>
    <row r="532" spans="1:343">
      <c r="C532" s="2804" t="s">
        <v>4067</v>
      </c>
      <c r="H532" s="1503" t="s">
        <v>3679</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c r="C533" s="2804"/>
      <c r="H533" s="1503" t="s">
        <v>6977</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c r="C534" s="2804"/>
      <c r="G534" s="2786"/>
      <c r="H534" s="1503" t="s">
        <v>6978</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c r="C535" s="2804" t="s">
        <v>4067</v>
      </c>
      <c r="H535" s="1503" t="s">
        <v>3680</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c r="C536" s="2804"/>
      <c r="D536" s="2804"/>
      <c r="E536" s="2804"/>
      <c r="H536" s="1503" t="s">
        <v>6977</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c r="C537" s="2804"/>
      <c r="D537" s="2804"/>
      <c r="E537" s="2804"/>
      <c r="G537" s="2786"/>
      <c r="H537" s="1503" t="s">
        <v>6978</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3"/>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3"/>
      <c r="B539" s="2793"/>
      <c r="C539" s="359"/>
      <c r="D539" s="359"/>
      <c r="E539" s="359"/>
      <c r="F539" s="359"/>
      <c r="H539" s="1503"/>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3"/>
      <c r="B540" s="2793"/>
      <c r="C540" s="359" t="s">
        <v>875</v>
      </c>
      <c r="D540" s="359"/>
      <c r="E540" s="1503"/>
      <c r="F540" s="359"/>
      <c r="H540" s="1503" t="s">
        <v>3676</v>
      </c>
      <c r="I540" s="362"/>
      <c r="K540" s="2806">
        <f>CP496</f>
        <v>0</v>
      </c>
      <c r="L540" s="2806">
        <f>CQ496</f>
        <v>0</v>
      </c>
      <c r="M540" s="2806">
        <f>CR496</f>
        <v>0</v>
      </c>
      <c r="N540" s="2806">
        <f>CS496</f>
        <v>0</v>
      </c>
      <c r="O540" s="2806">
        <f>CT496</f>
        <v>0</v>
      </c>
      <c r="P540" s="2585">
        <f t="shared" ref="P540:P547" si="359">SUM(K540:O540)</f>
        <v>0</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3"/>
      <c r="B541" s="2793"/>
      <c r="C541" s="362" t="s">
        <v>2310</v>
      </c>
      <c r="D541" s="359"/>
      <c r="E541" s="1503"/>
      <c r="F541" s="359"/>
      <c r="H541" s="1503" t="s">
        <v>3677</v>
      </c>
      <c r="I541" s="362"/>
      <c r="K541" s="2585">
        <f>CK496</f>
        <v>0</v>
      </c>
      <c r="L541" s="2585">
        <f>CL496</f>
        <v>0</v>
      </c>
      <c r="M541" s="2585">
        <f>CM496</f>
        <v>0</v>
      </c>
      <c r="N541" s="2585">
        <f>CN496</f>
        <v>0</v>
      </c>
      <c r="O541" s="2585">
        <f>CO496</f>
        <v>0</v>
      </c>
      <c r="P541" s="2585">
        <f t="shared" si="359"/>
        <v>0</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3"/>
      <c r="B542" s="2793"/>
      <c r="C542" s="359"/>
      <c r="D542" s="359"/>
      <c r="E542" s="1503"/>
      <c r="F542" s="359"/>
      <c r="H542" s="1503" t="s">
        <v>1081</v>
      </c>
      <c r="I542" s="362"/>
      <c r="K542" s="2585">
        <f>CF496</f>
        <v>0</v>
      </c>
      <c r="L542" s="2585">
        <f>CG496</f>
        <v>0</v>
      </c>
      <c r="M542" s="2585">
        <f>CH496</f>
        <v>0</v>
      </c>
      <c r="N542" s="2585">
        <f>CI496</f>
        <v>0</v>
      </c>
      <c r="O542" s="2585">
        <f>CJ496</f>
        <v>0</v>
      </c>
      <c r="P542" s="2585">
        <f t="shared" si="359"/>
        <v>0</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3"/>
      <c r="B543" s="2793"/>
      <c r="C543" s="359"/>
      <c r="D543" s="359"/>
      <c r="E543" s="1503"/>
      <c r="F543" s="359"/>
      <c r="H543" s="1503" t="s">
        <v>112</v>
      </c>
      <c r="I543" s="362"/>
      <c r="K543" s="2585">
        <f>CA496</f>
        <v>0</v>
      </c>
      <c r="L543" s="2585">
        <f>CB496</f>
        <v>0</v>
      </c>
      <c r="M543" s="2585">
        <f>CC496</f>
        <v>0</v>
      </c>
      <c r="N543" s="2585">
        <f>CD496</f>
        <v>0</v>
      </c>
      <c r="O543" s="2585">
        <f>CE496</f>
        <v>0</v>
      </c>
      <c r="P543" s="2585">
        <f t="shared" si="359"/>
        <v>0</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3"/>
      <c r="B544" s="2793"/>
      <c r="C544" s="359"/>
      <c r="D544" s="359"/>
      <c r="E544" s="1503"/>
      <c r="F544" s="359"/>
      <c r="H544" s="1503" t="s">
        <v>3678</v>
      </c>
      <c r="I544" s="362"/>
      <c r="K544" s="2585">
        <f>BV496</f>
        <v>0</v>
      </c>
      <c r="L544" s="2585">
        <f>BW496</f>
        <v>0</v>
      </c>
      <c r="M544" s="2585">
        <f>BX496</f>
        <v>0</v>
      </c>
      <c r="N544" s="2585">
        <f>BY496</f>
        <v>0</v>
      </c>
      <c r="O544" s="2585">
        <f>BZ496</f>
        <v>0</v>
      </c>
      <c r="P544" s="2585">
        <f t="shared" si="359"/>
        <v>0</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0"/>
      <c r="B545" s="2770"/>
      <c r="C545" s="359"/>
      <c r="D545" s="359"/>
      <c r="E545" s="1503"/>
      <c r="F545" s="359"/>
      <c r="H545" s="1503" t="s">
        <v>3679</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0"/>
      <c r="B546" s="2770"/>
      <c r="D546" s="359"/>
      <c r="E546" s="1503"/>
      <c r="F546" s="359"/>
      <c r="H546" s="1503" t="s">
        <v>3680</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0"/>
      <c r="B547" s="2770"/>
      <c r="C547" s="1747"/>
      <c r="D547" s="359"/>
      <c r="E547" s="1503"/>
      <c r="F547" s="359"/>
      <c r="H547" s="1634" t="s">
        <v>504</v>
      </c>
      <c r="I547" s="2784"/>
      <c r="K547" s="2587">
        <f>SUM(K540:K546)</f>
        <v>0</v>
      </c>
      <c r="L547" s="2587">
        <f>SUM(L540:L546)</f>
        <v>0</v>
      </c>
      <c r="M547" s="2587">
        <f>SUM(M540:M546)</f>
        <v>0</v>
      </c>
      <c r="N547" s="2587">
        <f>SUM(N540:N546)</f>
        <v>0</v>
      </c>
      <c r="O547" s="2587">
        <f>SUM(O540:O546)</f>
        <v>0</v>
      </c>
      <c r="P547" s="2587">
        <f t="shared" si="359"/>
        <v>0</v>
      </c>
      <c r="S547" s="2783"/>
      <c r="T547" s="2783"/>
      <c r="U547" s="2783"/>
      <c r="V547" s="2783"/>
      <c r="W547" s="2783"/>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0"/>
      <c r="B548" s="2770"/>
      <c r="C548" s="359"/>
      <c r="D548" s="359"/>
      <c r="E548" s="359"/>
      <c r="F548" s="359"/>
      <c r="H548" s="1503"/>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97">
        <f>$O$49</f>
        <v>0</v>
      </c>
      <c r="M549" s="2697"/>
      <c r="N549" s="2697"/>
      <c r="O549" s="2697"/>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0" t="str">
        <f>C551</f>
        <v>PHA Operating Subsidy-Assisted</v>
      </c>
      <c r="T550" s="361"/>
      <c r="U550" s="2776"/>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0"/>
      <c r="B551" s="2770"/>
      <c r="C551" s="2807" t="s">
        <v>832</v>
      </c>
      <c r="D551" s="2807"/>
      <c r="E551" s="2807"/>
      <c r="F551" s="359"/>
      <c r="H551" s="1503" t="s">
        <v>3676</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0"/>
      <c r="B552" s="2770"/>
      <c r="C552" s="362" t="s">
        <v>2310</v>
      </c>
      <c r="D552" s="2807"/>
      <c r="E552" s="2807"/>
      <c r="F552" s="359"/>
      <c r="H552" s="1503" t="s">
        <v>3677</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0"/>
      <c r="B553" s="2770"/>
      <c r="C553" s="2807"/>
      <c r="D553" s="2807"/>
      <c r="E553" s="2807"/>
      <c r="F553" s="359"/>
      <c r="H553" s="1503" t="s">
        <v>1081</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0"/>
      <c r="B554" s="2770"/>
      <c r="C554" s="2807"/>
      <c r="D554" s="2807"/>
      <c r="E554" s="2807"/>
      <c r="F554" s="359"/>
      <c r="H554" s="1503" t="s">
        <v>112</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0"/>
      <c r="B555" s="2770"/>
      <c r="C555" s="2807"/>
      <c r="D555" s="2807"/>
      <c r="E555" s="2807"/>
      <c r="F555" s="359"/>
      <c r="H555" s="1503" t="s">
        <v>3678</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0"/>
      <c r="B556" s="2770"/>
      <c r="C556" s="2807"/>
      <c r="D556" s="2807"/>
      <c r="E556" s="2807"/>
      <c r="F556" s="359"/>
      <c r="H556" s="1503" t="s">
        <v>3679</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0"/>
      <c r="B557" s="2770"/>
      <c r="C557" s="2807"/>
      <c r="D557" s="2807"/>
      <c r="E557" s="2807"/>
      <c r="F557" s="359"/>
      <c r="H557" s="1503" t="s">
        <v>3680</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0"/>
      <c r="B558" s="2770"/>
      <c r="D558" s="359"/>
      <c r="E558" s="1503"/>
      <c r="F558" s="359"/>
      <c r="H558" s="1634" t="s">
        <v>504</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0"/>
      <c r="B559" s="2770"/>
      <c r="D559" s="2620"/>
      <c r="E559" s="1503"/>
      <c r="F559" s="359"/>
      <c r="H559" s="1503"/>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0"/>
      <c r="B560" s="2770"/>
      <c r="C560" s="2783" t="s">
        <v>35</v>
      </c>
      <c r="D560" s="2783"/>
      <c r="E560" s="1503" t="s">
        <v>2120</v>
      </c>
      <c r="F560" s="359"/>
      <c r="H560" s="1503" t="s">
        <v>1343</v>
      </c>
      <c r="I560" s="362"/>
      <c r="K560" s="2585">
        <f>GG496</f>
        <v>0</v>
      </c>
      <c r="L560" s="2585">
        <f>GH496</f>
        <v>18</v>
      </c>
      <c r="M560" s="2585">
        <f>GI496</f>
        <v>62</v>
      </c>
      <c r="N560" s="2585">
        <f>GJ496</f>
        <v>0</v>
      </c>
      <c r="O560" s="2585">
        <f>GK496</f>
        <v>0</v>
      </c>
      <c r="P560" s="2585">
        <f t="shared" ref="P560:P570" si="361">SUM(K560:O560)</f>
        <v>80</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3"/>
      <c r="F561" s="359"/>
      <c r="H561" s="1503" t="s">
        <v>290</v>
      </c>
      <c r="I561" s="362"/>
      <c r="K561" s="2585">
        <f>GL496</f>
        <v>0</v>
      </c>
      <c r="L561" s="2585">
        <f>GM496</f>
        <v>4</v>
      </c>
      <c r="M561" s="2585">
        <f>GN496</f>
        <v>6</v>
      </c>
      <c r="N561" s="2585">
        <f>GO496</f>
        <v>0</v>
      </c>
      <c r="O561" s="2585">
        <f>GP496</f>
        <v>0</v>
      </c>
      <c r="P561" s="2585">
        <f t="shared" si="361"/>
        <v>10</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0"/>
      <c r="B562" s="2770"/>
      <c r="C562" s="2783"/>
      <c r="D562" s="2783"/>
      <c r="E562" s="1503"/>
      <c r="F562" s="359"/>
      <c r="H562" s="1634" t="s">
        <v>29</v>
      </c>
      <c r="I562" s="2784"/>
      <c r="K562" s="2587">
        <f>SUM(K560:K561)+GQ496</f>
        <v>0</v>
      </c>
      <c r="L562" s="2587">
        <f>SUM(L560:L561)+GR496</f>
        <v>22</v>
      </c>
      <c r="M562" s="2587">
        <f>SUM(M560:M561)+GS496</f>
        <v>68</v>
      </c>
      <c r="N562" s="2587">
        <f>SUM(N560:N561)+GT496</f>
        <v>0</v>
      </c>
      <c r="O562" s="2587">
        <f>SUM(O560:O561)+GU496</f>
        <v>0</v>
      </c>
      <c r="P562" s="2587">
        <f t="shared" si="361"/>
        <v>90</v>
      </c>
      <c r="S562" s="2783"/>
      <c r="T562" s="2783"/>
      <c r="U562" s="2783"/>
      <c r="V562" s="2783"/>
      <c r="W562" s="2783"/>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0"/>
      <c r="B563" s="2770"/>
      <c r="C563" s="2783"/>
      <c r="D563" s="2783"/>
      <c r="E563" s="1503" t="s">
        <v>1983</v>
      </c>
      <c r="F563" s="359"/>
      <c r="H563" s="1503" t="s">
        <v>1343</v>
      </c>
      <c r="I563" s="362"/>
      <c r="K563" s="2585">
        <f>GV496</f>
        <v>0</v>
      </c>
      <c r="L563" s="2585">
        <f>GW496</f>
        <v>0</v>
      </c>
      <c r="M563" s="2585">
        <f>GX496</f>
        <v>0</v>
      </c>
      <c r="N563" s="2585">
        <f>GY496</f>
        <v>0</v>
      </c>
      <c r="O563" s="2585">
        <f>GZ496</f>
        <v>0</v>
      </c>
      <c r="P563" s="2585">
        <f t="shared" si="361"/>
        <v>0</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3"/>
      <c r="F564" s="359"/>
      <c r="H564" s="1503" t="s">
        <v>290</v>
      </c>
      <c r="I564" s="362"/>
      <c r="K564" s="2585">
        <f>HA496</f>
        <v>0</v>
      </c>
      <c r="L564" s="2585">
        <f>HB496</f>
        <v>0</v>
      </c>
      <c r="M564" s="2585">
        <f>HC496</f>
        <v>0</v>
      </c>
      <c r="N564" s="2585">
        <f>HD496</f>
        <v>0</v>
      </c>
      <c r="O564" s="2585">
        <f>HE496</f>
        <v>0</v>
      </c>
      <c r="P564" s="2585">
        <f t="shared" si="361"/>
        <v>0</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0"/>
      <c r="B565" s="2770"/>
      <c r="C565" s="2783"/>
      <c r="D565" s="2783"/>
      <c r="E565" s="1503"/>
      <c r="F565" s="359"/>
      <c r="H565" s="1634" t="s">
        <v>29</v>
      </c>
      <c r="I565" s="2784"/>
      <c r="K565" s="2587">
        <f>SUM(K563:K564)+HF496</f>
        <v>0</v>
      </c>
      <c r="L565" s="2587">
        <f>SUM(L563:L564)+HG496</f>
        <v>0</v>
      </c>
      <c r="M565" s="2587">
        <f>SUM(M563:M564)+HH496</f>
        <v>0</v>
      </c>
      <c r="N565" s="2587">
        <f>SUM(N563:N564)+HI496</f>
        <v>0</v>
      </c>
      <c r="O565" s="2587">
        <f>SUM(O563:O564)+HJ496</f>
        <v>0</v>
      </c>
      <c r="P565" s="2587">
        <f t="shared" si="361"/>
        <v>0</v>
      </c>
      <c r="S565" s="2783"/>
      <c r="T565" s="2783"/>
      <c r="U565" s="2783"/>
      <c r="V565" s="2783"/>
      <c r="W565" s="2783"/>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0"/>
      <c r="B566" s="2770"/>
      <c r="C566" s="2756"/>
      <c r="D566" s="359"/>
      <c r="E566" s="2756" t="s">
        <v>1337</v>
      </c>
      <c r="F566" s="2756"/>
      <c r="H566" s="1503" t="s">
        <v>1343</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3" t="s">
        <v>290</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0"/>
      <c r="B568" s="2770"/>
      <c r="C568" s="2756"/>
      <c r="D568" s="359"/>
      <c r="E568" s="1503"/>
      <c r="F568" s="359"/>
      <c r="H568" s="1634"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0"/>
      <c r="B569" s="2770"/>
      <c r="C569" s="2756"/>
      <c r="D569" s="359"/>
      <c r="E569" s="1503" t="s">
        <v>345</v>
      </c>
      <c r="F569" s="359"/>
      <c r="G569" s="2621"/>
      <c r="H569" s="360"/>
      <c r="K569" s="2585">
        <f>'Part V-Revenues &amp; Expenses'!K122</f>
        <v>0</v>
      </c>
      <c r="L569" s="2585">
        <f>'Part V-Revenues &amp; Expenses'!L122</f>
        <v>0</v>
      </c>
      <c r="M569" s="2585">
        <f>'Part V-Revenues &amp; Expenses'!M122</f>
        <v>0</v>
      </c>
      <c r="N569" s="2585">
        <f>'Part V-Revenues &amp; Expenses'!N122</f>
        <v>0</v>
      </c>
      <c r="O569" s="2585">
        <f>'Part V-Revenues &amp; Expenses'!O122</f>
        <v>0</v>
      </c>
      <c r="P569" s="2585">
        <f t="shared" si="361"/>
        <v>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0" t="str">
        <f>IF(AND('Part III-A-Uses of Funds'!$T$179="Yes",'Part VIII Scoring Criteria'!$O$312&gt;0,P570&lt;1),"SHOW HISTORIC UNITS HERE &gt;&gt;&gt;&gt;","")</f>
        <v/>
      </c>
      <c r="B570" s="2780"/>
      <c r="C570" s="2780"/>
      <c r="D570" s="2780"/>
      <c r="E570" s="1503" t="s">
        <v>6748</v>
      </c>
      <c r="F570" s="359"/>
      <c r="G570" s="2621"/>
      <c r="H570" s="360"/>
      <c r="K570" s="2585">
        <f>'Part V-Revenues &amp; Expenses'!K123</f>
        <v>0</v>
      </c>
      <c r="L570" s="2585">
        <f>'Part V-Revenues &amp; Expenses'!L123</f>
        <v>0</v>
      </c>
      <c r="M570" s="2585">
        <f>'Part V-Revenues &amp; Expenses'!M123</f>
        <v>0</v>
      </c>
      <c r="N570" s="2585">
        <f>'Part V-Revenues &amp; Expenses'!N123</f>
        <v>0</v>
      </c>
      <c r="O570" s="2585">
        <f>'Part V-Revenues &amp; Expenses'!O123</f>
        <v>0</v>
      </c>
      <c r="P570" s="2585">
        <f t="shared" si="361"/>
        <v>0</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8"/>
      <c r="B571" s="2808"/>
      <c r="C571" s="2808"/>
      <c r="D571" s="2808"/>
      <c r="E571" s="1503"/>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8"/>
      <c r="B572" s="2808"/>
      <c r="C572" s="2808"/>
      <c r="D572" s="2808"/>
      <c r="E572" s="1503" t="s">
        <v>2997</v>
      </c>
      <c r="F572" s="359"/>
      <c r="G572" s="2621"/>
      <c r="H572" s="360"/>
      <c r="K572" s="2585">
        <f>K576+K580+K584+K586+K588+K590</f>
        <v>0</v>
      </c>
      <c r="L572" s="2585">
        <f>L576+L580+L584+L586+L588+L590</f>
        <v>0</v>
      </c>
      <c r="M572" s="2585">
        <f>M576+M580+M584+M586+M588+M590</f>
        <v>0</v>
      </c>
      <c r="N572" s="2585">
        <f>N576+N580+N584+N586+N588+N590</f>
        <v>0</v>
      </c>
      <c r="O572" s="2585">
        <f>O576+O580+O584+O586+O588+O590</f>
        <v>0</v>
      </c>
      <c r="P572" s="2585">
        <f>SUM(K572:O572)</f>
        <v>0</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3" t="s">
        <v>6981</v>
      </c>
      <c r="D574" s="2783"/>
      <c r="E574" s="1503" t="s">
        <v>36</v>
      </c>
      <c r="F574" s="359"/>
      <c r="G574" s="2621"/>
      <c r="H574" s="360"/>
      <c r="K574" s="2587">
        <f t="shared" ref="K574:P574" si="362">SUM(K575:K582)</f>
        <v>0</v>
      </c>
      <c r="L574" s="2587">
        <f t="shared" si="362"/>
        <v>22</v>
      </c>
      <c r="M574" s="2587">
        <f t="shared" si="362"/>
        <v>68</v>
      </c>
      <c r="N574" s="2587">
        <f t="shared" si="362"/>
        <v>0</v>
      </c>
      <c r="O574" s="2587">
        <f t="shared" si="362"/>
        <v>0</v>
      </c>
      <c r="P574" s="2587">
        <f t="shared" si="362"/>
        <v>90</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3"/>
      <c r="F575" s="359"/>
      <c r="H575" s="2809" t="s">
        <v>6291</v>
      </c>
      <c r="I575" s="1877"/>
      <c r="K575" s="2585">
        <f>JS496</f>
        <v>0</v>
      </c>
      <c r="L575" s="2585">
        <f>JT496</f>
        <v>0</v>
      </c>
      <c r="M575" s="2585">
        <f>JU496</f>
        <v>0</v>
      </c>
      <c r="N575" s="2585">
        <f>JV496</f>
        <v>0</v>
      </c>
      <c r="O575" s="2585">
        <f>JW496</f>
        <v>0</v>
      </c>
      <c r="P575" s="2585">
        <f t="shared" ref="P575:P590" si="363">SUM(K575:O575)</f>
        <v>0</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3"/>
      <c r="F576" s="359"/>
      <c r="H576" s="2810" t="s">
        <v>2997</v>
      </c>
      <c r="I576" s="2811"/>
      <c r="K576" s="2586">
        <f>KC496</f>
        <v>0</v>
      </c>
      <c r="L576" s="2586">
        <f>KD496</f>
        <v>0</v>
      </c>
      <c r="M576" s="2586">
        <f>KE496</f>
        <v>0</v>
      </c>
      <c r="N576" s="2586">
        <f>KF496</f>
        <v>0</v>
      </c>
      <c r="O576" s="2586">
        <f>KG496</f>
        <v>0</v>
      </c>
      <c r="P576" s="2586">
        <f t="shared" si="363"/>
        <v>0</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3"/>
      <c r="F577" s="359"/>
      <c r="H577" s="2809" t="s">
        <v>6478</v>
      </c>
      <c r="I577" s="1877"/>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3"/>
      <c r="F578" s="359"/>
      <c r="H578" s="2810" t="s">
        <v>2997</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3"/>
      <c r="F579" s="359"/>
      <c r="H579" s="2809" t="s">
        <v>6293</v>
      </c>
      <c r="I579" s="1877"/>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3"/>
      <c r="F580" s="359"/>
      <c r="H580" s="2810" t="s">
        <v>2997</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3"/>
      <c r="F581" s="359"/>
      <c r="H581" s="2809" t="s">
        <v>6485</v>
      </c>
      <c r="I581" s="1877"/>
      <c r="K581" s="2585">
        <f>KR496</f>
        <v>0</v>
      </c>
      <c r="L581" s="2585">
        <f>KS496</f>
        <v>22</v>
      </c>
      <c r="M581" s="2585">
        <f>KT496</f>
        <v>68</v>
      </c>
      <c r="N581" s="2585">
        <f>KU496</f>
        <v>0</v>
      </c>
      <c r="O581" s="2585">
        <f>KV496</f>
        <v>0</v>
      </c>
      <c r="P581" s="2585">
        <f t="shared" si="363"/>
        <v>90</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3"/>
      <c r="F582" s="359"/>
      <c r="H582" s="2810" t="s">
        <v>2997</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3" t="s">
        <v>6480</v>
      </c>
      <c r="F583" s="359"/>
      <c r="H583" s="2809"/>
      <c r="I583" s="1877"/>
      <c r="K583" s="2585">
        <f>IE496</f>
        <v>0</v>
      </c>
      <c r="L583" s="2585">
        <f>IF496</f>
        <v>0</v>
      </c>
      <c r="M583" s="2585">
        <f>IG496</f>
        <v>0</v>
      </c>
      <c r="N583" s="2585">
        <f>IH496</f>
        <v>0</v>
      </c>
      <c r="O583" s="2585">
        <f>II496</f>
        <v>0</v>
      </c>
      <c r="P583" s="2587">
        <f t="shared" si="363"/>
        <v>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3"/>
      <c r="D584" s="2783"/>
      <c r="E584" s="1503"/>
      <c r="F584" s="359"/>
      <c r="H584" s="2810" t="s">
        <v>2997</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3"/>
      <c r="D585" s="2783"/>
      <c r="E585" s="1503" t="s">
        <v>6481</v>
      </c>
      <c r="F585" s="359"/>
      <c r="H585" s="2809"/>
      <c r="I585" s="1877"/>
      <c r="K585" s="2585">
        <f>JI496</f>
        <v>0</v>
      </c>
      <c r="L585" s="2585">
        <f>JJ496</f>
        <v>0</v>
      </c>
      <c r="M585" s="2585">
        <f>JK496</f>
        <v>0</v>
      </c>
      <c r="N585" s="2585">
        <f>JL496</f>
        <v>0</v>
      </c>
      <c r="O585" s="2585">
        <f>JM496</f>
        <v>0</v>
      </c>
      <c r="P585" s="2587">
        <f t="shared" si="363"/>
        <v>0</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3"/>
      <c r="F586" s="359"/>
      <c r="H586" s="2810" t="s">
        <v>2997</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3" t="s">
        <v>6287</v>
      </c>
      <c r="F587" s="359"/>
      <c r="H587" s="2809"/>
      <c r="I587" s="1877"/>
      <c r="K587" s="2585">
        <f>IY496</f>
        <v>0</v>
      </c>
      <c r="L587" s="2585">
        <f>IZ496</f>
        <v>0</v>
      </c>
      <c r="M587" s="2585">
        <f>JA496</f>
        <v>0</v>
      </c>
      <c r="N587" s="2585">
        <f>JB496</f>
        <v>0</v>
      </c>
      <c r="O587" s="2585">
        <f>JC496</f>
        <v>0</v>
      </c>
      <c r="P587" s="2587">
        <f t="shared" si="363"/>
        <v>0</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3"/>
      <c r="D588" s="2783"/>
      <c r="E588" s="1503"/>
      <c r="F588" s="359"/>
      <c r="H588" s="2810" t="s">
        <v>2997</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3"/>
      <c r="D589" s="2783"/>
      <c r="E589" s="360" t="s">
        <v>525</v>
      </c>
      <c r="F589" s="359"/>
      <c r="H589" s="2809"/>
      <c r="I589" s="1877"/>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2997</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97">
        <f>$O$49</f>
        <v>0</v>
      </c>
      <c r="M592" s="2697"/>
      <c r="N592" s="2697"/>
      <c r="O592" s="2697"/>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0"/>
      <c r="S593" s="1819" t="str">
        <f>C594</f>
        <v>Building Type:
(for Cost Limit purposes only - see Application Instructions for further detail)</v>
      </c>
      <c r="T593" s="361"/>
      <c r="U593" s="2776"/>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3" t="s">
        <v>6982</v>
      </c>
      <c r="D594" s="2783"/>
      <c r="E594" s="1503" t="s">
        <v>2992</v>
      </c>
      <c r="F594" s="2621"/>
      <c r="H594" s="2809"/>
      <c r="I594" s="1877"/>
      <c r="K594" s="2585">
        <f t="shared" ref="K594:O595" si="364">K583+K587+K589</f>
        <v>0</v>
      </c>
      <c r="L594" s="2585">
        <f>L583+L587+L589</f>
        <v>0</v>
      </c>
      <c r="M594" s="2585">
        <f t="shared" si="364"/>
        <v>0</v>
      </c>
      <c r="N594" s="2585">
        <f t="shared" si="364"/>
        <v>0</v>
      </c>
      <c r="O594" s="2585">
        <f t="shared" si="364"/>
        <v>0</v>
      </c>
      <c r="P594" s="2587">
        <f t="shared" ref="P594:P601" si="365">SUM(K594:O594)</f>
        <v>0</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3"/>
      <c r="F595" s="2621"/>
      <c r="H595" s="2810" t="s">
        <v>2997</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3" t="s">
        <v>2993</v>
      </c>
      <c r="F596" s="2621"/>
      <c r="H596" s="2640"/>
      <c r="I596" s="2621"/>
      <c r="K596" s="2585">
        <f t="shared" ref="K596:O597" si="366">K585</f>
        <v>0</v>
      </c>
      <c r="L596" s="2585">
        <f t="shared" si="366"/>
        <v>0</v>
      </c>
      <c r="M596" s="2585">
        <f t="shared" si="366"/>
        <v>0</v>
      </c>
      <c r="N596" s="2585">
        <f t="shared" si="366"/>
        <v>0</v>
      </c>
      <c r="O596" s="2585">
        <f t="shared" si="366"/>
        <v>0</v>
      </c>
      <c r="P596" s="2587">
        <f t="shared" si="365"/>
        <v>0</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3"/>
      <c r="F597" s="2621"/>
      <c r="H597" s="2810" t="s">
        <v>2997</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3" t="s">
        <v>2994</v>
      </c>
      <c r="F598" s="2621"/>
      <c r="H598" s="2809"/>
      <c r="I598" s="1877"/>
      <c r="K598" s="2585">
        <f t="shared" ref="K598:O601" si="367">K575+K579</f>
        <v>0</v>
      </c>
      <c r="L598" s="2585">
        <f t="shared" si="367"/>
        <v>0</v>
      </c>
      <c r="M598" s="2585">
        <f t="shared" si="367"/>
        <v>0</v>
      </c>
      <c r="N598" s="2585">
        <f t="shared" si="367"/>
        <v>0</v>
      </c>
      <c r="O598" s="2585">
        <f t="shared" si="367"/>
        <v>0</v>
      </c>
      <c r="P598" s="2587">
        <f t="shared" si="365"/>
        <v>0</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3"/>
      <c r="F599" s="2621"/>
      <c r="H599" s="2810" t="s">
        <v>2997</v>
      </c>
      <c r="I599" s="2811"/>
      <c r="K599" s="2586">
        <f t="shared" si="367"/>
        <v>0</v>
      </c>
      <c r="L599" s="2586">
        <f t="shared" si="367"/>
        <v>0</v>
      </c>
      <c r="M599" s="2586">
        <f t="shared" si="367"/>
        <v>0</v>
      </c>
      <c r="N599" s="2586">
        <f t="shared" si="367"/>
        <v>0</v>
      </c>
      <c r="O599" s="2586">
        <f t="shared" si="367"/>
        <v>0</v>
      </c>
      <c r="P599" s="2588">
        <f t="shared" si="365"/>
        <v>0</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3" t="s">
        <v>2995</v>
      </c>
      <c r="F600" s="2621"/>
      <c r="H600" s="2809"/>
      <c r="I600" s="1877"/>
      <c r="K600" s="2585">
        <f t="shared" si="367"/>
        <v>0</v>
      </c>
      <c r="L600" s="2585">
        <f t="shared" si="367"/>
        <v>22</v>
      </c>
      <c r="M600" s="2585">
        <f t="shared" si="367"/>
        <v>68</v>
      </c>
      <c r="N600" s="2585">
        <f t="shared" si="367"/>
        <v>0</v>
      </c>
      <c r="O600" s="2585">
        <f t="shared" si="367"/>
        <v>0</v>
      </c>
      <c r="P600" s="2587">
        <f t="shared" si="365"/>
        <v>90</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2997</v>
      </c>
      <c r="I601" s="2811"/>
      <c r="K601" s="2586">
        <f t="shared" si="367"/>
        <v>0</v>
      </c>
      <c r="L601" s="2586">
        <f t="shared" si="367"/>
        <v>0</v>
      </c>
      <c r="M601" s="2586">
        <f t="shared" si="367"/>
        <v>0</v>
      </c>
      <c r="N601" s="2586">
        <f t="shared" si="367"/>
        <v>0</v>
      </c>
      <c r="O601" s="2586">
        <f t="shared" si="367"/>
        <v>0</v>
      </c>
      <c r="P601" s="2588">
        <f t="shared" si="365"/>
        <v>0</v>
      </c>
      <c r="Q601" s="2814" t="s">
        <v>6983</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3"/>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5"/>
      <c r="L603" s="2815"/>
      <c r="M603" s="2815"/>
      <c r="N603" s="2815"/>
      <c r="O603" s="2815"/>
      <c r="P603" s="2815"/>
      <c r="Q603" s="2814"/>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6">
        <f>EI496</f>
        <v>0</v>
      </c>
      <c r="L604" s="2806">
        <f>EJ496</f>
        <v>0</v>
      </c>
      <c r="M604" s="2806">
        <f>EK496</f>
        <v>0</v>
      </c>
      <c r="N604" s="2806">
        <f>EL496</f>
        <v>0</v>
      </c>
      <c r="O604" s="2806">
        <f>EM496</f>
        <v>0</v>
      </c>
      <c r="P604" s="2589">
        <f t="shared" ref="P604:P610" si="368">SUM(K604:O604)</f>
        <v>0</v>
      </c>
      <c r="Q604" s="2803" t="str">
        <f t="shared" ref="Q604:Q610" si="369">IF(OR(P503=0,P503=""),"",P604/P503)</f>
        <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09" t="s">
        <v>3677</v>
      </c>
      <c r="I605" s="1877"/>
      <c r="K605" s="2589">
        <f>EN496</f>
        <v>0</v>
      </c>
      <c r="L605" s="2589">
        <f>EO496</f>
        <v>0</v>
      </c>
      <c r="M605" s="2589">
        <f>EP496</f>
        <v>0</v>
      </c>
      <c r="N605" s="2589">
        <f>EQ496</f>
        <v>0</v>
      </c>
      <c r="O605" s="2589">
        <f>ER496</f>
        <v>0</v>
      </c>
      <c r="P605" s="2589">
        <f t="shared" si="368"/>
        <v>0</v>
      </c>
      <c r="Q605" s="2803" t="str">
        <f t="shared" si="369"/>
        <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09" t="s">
        <v>1081</v>
      </c>
      <c r="I606" s="1877"/>
      <c r="K606" s="2589">
        <f>ES496</f>
        <v>0</v>
      </c>
      <c r="L606" s="2589">
        <f>ET496</f>
        <v>8684</v>
      </c>
      <c r="M606" s="2589">
        <f>EU496</f>
        <v>46650</v>
      </c>
      <c r="N606" s="2589">
        <f>EV496</f>
        <v>0</v>
      </c>
      <c r="O606" s="2589">
        <f>EW496</f>
        <v>0</v>
      </c>
      <c r="P606" s="2589">
        <f t="shared" si="368"/>
        <v>55334</v>
      </c>
      <c r="Q606" s="2803">
        <f t="shared" si="369"/>
        <v>878.31746031746036</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09" t="s">
        <v>112</v>
      </c>
      <c r="I607" s="1877"/>
      <c r="K607" s="2589">
        <f>EX496</f>
        <v>0</v>
      </c>
      <c r="L607" s="2589">
        <f>EY496</f>
        <v>3340</v>
      </c>
      <c r="M607" s="2589">
        <f>EZ496</f>
        <v>11196</v>
      </c>
      <c r="N607" s="2589">
        <f>FA496</f>
        <v>0</v>
      </c>
      <c r="O607" s="2589">
        <f>FB496</f>
        <v>0</v>
      </c>
      <c r="P607" s="2589">
        <f t="shared" si="368"/>
        <v>14536</v>
      </c>
      <c r="Q607" s="2803">
        <f t="shared" si="369"/>
        <v>855.05882352941171</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09" t="s">
        <v>3678</v>
      </c>
      <c r="I608" s="1877"/>
      <c r="K608" s="2589">
        <f>FC496</f>
        <v>0</v>
      </c>
      <c r="L608" s="2589">
        <f>FD496</f>
        <v>0</v>
      </c>
      <c r="M608" s="2589">
        <f>FE496</f>
        <v>0</v>
      </c>
      <c r="N608" s="2589">
        <f>FF496</f>
        <v>0</v>
      </c>
      <c r="O608" s="2589">
        <f>FG496</f>
        <v>0</v>
      </c>
      <c r="P608" s="2589">
        <f t="shared" si="368"/>
        <v>0</v>
      </c>
      <c r="Q608" s="2803" t="str">
        <f t="shared" si="369"/>
        <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09" t="s">
        <v>3679</v>
      </c>
      <c r="I609" s="1877"/>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0" t="s">
        <v>3761</v>
      </c>
      <c r="I611" s="2811"/>
      <c r="J611" s="2796"/>
      <c r="K611" s="2590">
        <f>SUM(K604:K610)</f>
        <v>0</v>
      </c>
      <c r="L611" s="2590">
        <f>SUM(L604:L610)</f>
        <v>12024</v>
      </c>
      <c r="M611" s="2590">
        <f>SUM(M604:M610)</f>
        <v>57846</v>
      </c>
      <c r="N611" s="2590">
        <f>SUM(N604:N610)</f>
        <v>0</v>
      </c>
      <c r="O611" s="2590">
        <f>SUM(O604:O610)</f>
        <v>0</v>
      </c>
      <c r="P611" s="2590">
        <f>SUM(K611:O611)</f>
        <v>69870</v>
      </c>
      <c r="S611" s="2783"/>
      <c r="T611" s="2783"/>
      <c r="U611" s="2783"/>
      <c r="V611" s="2783"/>
      <c r="W611" s="2783"/>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89">
        <f>FR496</f>
        <v>0</v>
      </c>
      <c r="L612" s="2589">
        <f>FS496</f>
        <v>2672</v>
      </c>
      <c r="M612" s="2589">
        <f>FT496</f>
        <v>5598</v>
      </c>
      <c r="N612" s="2589">
        <f>FU496</f>
        <v>0</v>
      </c>
      <c r="O612" s="2589">
        <f>FV496</f>
        <v>0</v>
      </c>
      <c r="P612" s="2589">
        <f>SUM(K612:O612)</f>
        <v>8270</v>
      </c>
      <c r="Q612" s="2803">
        <f>IF(OR(P511=0,P511=""),"",P612/P511)</f>
        <v>827</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6" t="s">
        <v>1070</v>
      </c>
      <c r="D613" s="2795"/>
      <c r="E613" s="2795"/>
      <c r="F613" s="2795"/>
      <c r="G613" s="2795"/>
      <c r="H613" s="2796"/>
      <c r="I613" s="2796"/>
      <c r="J613" s="2796"/>
      <c r="K613" s="2591">
        <f>SUM(K611:K612)</f>
        <v>0</v>
      </c>
      <c r="L613" s="2591">
        <f>SUM(L611:L612)</f>
        <v>14696</v>
      </c>
      <c r="M613" s="2591">
        <f>SUM(M611:M612)</f>
        <v>63444</v>
      </c>
      <c r="N613" s="2591">
        <f>SUM(N611:N612)</f>
        <v>0</v>
      </c>
      <c r="O613" s="2591">
        <f>SUM(O611:O612)</f>
        <v>0</v>
      </c>
      <c r="P613" s="2591">
        <f>SUM(K613:O613)</f>
        <v>78140</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2">
        <f>SUM(K613:K614)</f>
        <v>0</v>
      </c>
      <c r="L615" s="2592">
        <f>SUM(L613:L614)</f>
        <v>14696</v>
      </c>
      <c r="M615" s="2592">
        <f>SUM(M613:M614)</f>
        <v>63444</v>
      </c>
      <c r="N615" s="2592">
        <f>SUM(N613:N614)</f>
        <v>0</v>
      </c>
      <c r="O615" s="2592">
        <f>SUM(O613:O614)</f>
        <v>0</v>
      </c>
      <c r="P615" s="2592">
        <f>SUM(K615:O615)</f>
        <v>78140</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817" t="str">
        <f>IF(OR(K514="",K514=0),"",K615/K514)</f>
        <v/>
      </c>
      <c r="L618" s="2817">
        <f>IF(OR(L514="",L514=0),"",L615/L514)</f>
        <v>668</v>
      </c>
      <c r="M618" s="2817">
        <f>IF(OR(M514="",M514=0),"",M615/M514)</f>
        <v>933</v>
      </c>
      <c r="N618" s="2817" t="str">
        <f>IF(OR(N514="",N514=0),"",N615/N514)</f>
        <v/>
      </c>
      <c r="O618" s="2817" t="str">
        <f>IF(OR(O514="",O514=0),"",O615/O514)</f>
        <v/>
      </c>
      <c r="P618" s="2817"/>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4"/>
      <c r="C621" s="377" t="s">
        <v>6985</v>
      </c>
      <c r="K621" s="2548">
        <f>'Part V-Revenues &amp; Expenses'!K174</f>
        <v>25000</v>
      </c>
      <c r="L621" s="2548"/>
      <c r="Z621" s="1622">
        <v>68</v>
      </c>
    </row>
    <row r="622" spans="1:380" s="1819" customFormat="1" ht="13.35" customHeight="1">
      <c r="A622" s="2614"/>
      <c r="C622" s="377" t="s">
        <v>242</v>
      </c>
      <c r="K622" s="2548">
        <f>P615+K621</f>
        <v>103140</v>
      </c>
      <c r="L622" s="2548"/>
      <c r="Z622" s="1622">
        <v>69</v>
      </c>
    </row>
    <row r="623" spans="1:380" s="359" customFormat="1" ht="14.1" customHeight="1">
      <c r="A623" s="2818"/>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19">
        <f>'Part V-Revenues &amp; Expenses'!H179</f>
        <v>25402.32</v>
      </c>
      <c r="I626" s="2819"/>
      <c r="J626" s="2809" t="s">
        <v>6987</v>
      </c>
      <c r="M626" s="1503"/>
      <c r="N626" s="1503"/>
      <c r="O626" s="1503"/>
      <c r="P626" s="2820">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0"/>
      <c r="C627" s="360"/>
      <c r="D627" s="1503"/>
      <c r="E627" s="360"/>
      <c r="F627" s="360"/>
      <c r="G627" s="360"/>
      <c r="H627" s="360"/>
      <c r="I627" s="360"/>
      <c r="J627" s="2821"/>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0" t="s">
        <v>1356</v>
      </c>
      <c r="C628" s="360"/>
      <c r="D628" s="360"/>
      <c r="E628" s="360"/>
      <c r="F628" s="360"/>
      <c r="G628" s="360"/>
      <c r="H628" s="360"/>
      <c r="I628" s="360"/>
      <c r="J628" s="2780"/>
      <c r="K628" s="360"/>
      <c r="L628" s="2593"/>
      <c r="M628" s="360"/>
      <c r="N628" s="360"/>
      <c r="O628" s="360"/>
      <c r="P628" s="360"/>
      <c r="Q628" s="360"/>
      <c r="S628" s="2755"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2" t="s">
        <v>2111</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2" t="s">
        <v>6988</v>
      </c>
      <c r="C633" s="360"/>
      <c r="D633" s="360"/>
      <c r="E633" s="360"/>
      <c r="F633" s="360"/>
      <c r="H633" s="2824"/>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2" t="s">
        <v>2111</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3" t="s">
        <v>690</v>
      </c>
      <c r="C640" s="1503">
        <f>'Part V-Revenues &amp; Expenses'!C193</f>
        <v>0</v>
      </c>
      <c r="D640" s="1503"/>
      <c r="E640" s="1503"/>
      <c r="F640" s="1503"/>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3"/>
      <c r="C641" s="1503" t="s">
        <v>870</v>
      </c>
      <c r="D641" s="1503"/>
      <c r="E641" s="1503"/>
      <c r="F641" s="1503"/>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6988</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3" t="s">
        <v>690</v>
      </c>
      <c r="C644" s="1503">
        <f>'Part V-Revenues &amp; Expenses'!C197</f>
        <v>0</v>
      </c>
      <c r="D644" s="1503"/>
      <c r="E644" s="1503"/>
      <c r="F644" s="1503"/>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3"/>
      <c r="C645" s="1503" t="s">
        <v>6989</v>
      </c>
      <c r="D645" s="1503"/>
      <c r="E645" s="1503"/>
      <c r="F645" s="1503"/>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2111</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2410</v>
      </c>
      <c r="T647" s="359" t="str">
        <f>B647</f>
        <v>Included in Mgt Fee:</v>
      </c>
    </row>
    <row r="648" spans="2:343" ht="15.6" customHeight="1">
      <c r="B648" s="1503" t="s">
        <v>953</v>
      </c>
      <c r="C648" s="1503"/>
      <c r="D648" s="1503"/>
      <c r="E648" s="1503"/>
      <c r="F648" s="1503"/>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3" t="s">
        <v>690</v>
      </c>
      <c r="C649" s="1503">
        <f>'Part V-Revenues &amp; Expenses'!C202</f>
        <v>0</v>
      </c>
      <c r="D649" s="1503"/>
      <c r="E649" s="1503"/>
      <c r="F649" s="1503"/>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3"/>
      <c r="C650" s="1503" t="s">
        <v>870</v>
      </c>
      <c r="D650" s="1503"/>
      <c r="E650" s="1503"/>
      <c r="F650" s="1503"/>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6988</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3" t="s">
        <v>690</v>
      </c>
      <c r="C653" s="1503">
        <f>'Part V-Revenues &amp; Expenses'!C206</f>
        <v>0</v>
      </c>
      <c r="D653" s="1503"/>
      <c r="E653" s="1503"/>
      <c r="F653" s="1503"/>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3"/>
      <c r="C654" s="1503" t="s">
        <v>6989</v>
      </c>
      <c r="D654" s="1503"/>
      <c r="E654" s="1503"/>
      <c r="F654" s="1503"/>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2" t="s">
        <v>2111</v>
      </c>
      <c r="C656" s="360"/>
      <c r="D656" s="360"/>
      <c r="E656" s="360"/>
      <c r="F656" s="360"/>
      <c r="H656" s="2594">
        <v>31</v>
      </c>
      <c r="I656" s="2594">
        <v>32</v>
      </c>
      <c r="J656" s="2594">
        <v>33</v>
      </c>
      <c r="K656" s="2594">
        <v>34</v>
      </c>
      <c r="L656" s="2594">
        <v>35</v>
      </c>
      <c r="M656" s="360"/>
      <c r="N656" s="360"/>
      <c r="O656" s="360"/>
      <c r="P656" s="360"/>
      <c r="Q656" s="360"/>
      <c r="S656" s="2785"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2" t="s">
        <v>6988</v>
      </c>
      <c r="C660" s="360"/>
      <c r="D660" s="360"/>
      <c r="E660" s="360"/>
      <c r="F660" s="360"/>
      <c r="H660" s="2824"/>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5"/>
      <c r="G664" s="2825"/>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2" t="s">
        <v>955</v>
      </c>
      <c r="C665" s="2752"/>
      <c r="D665" s="2752"/>
      <c r="E665" s="2752"/>
      <c r="F665" s="2752"/>
      <c r="G665" s="2752"/>
      <c r="H665" s="2752"/>
      <c r="I665" s="2752"/>
      <c r="J665" s="2752"/>
      <c r="K665" s="2752"/>
      <c r="L665" s="2752"/>
      <c r="N665" s="2826"/>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2"/>
      <c r="C666" s="2752"/>
      <c r="D666" s="2752"/>
      <c r="E666" s="2752"/>
      <c r="F666" s="2752"/>
      <c r="G666" s="2752"/>
      <c r="H666" s="2752"/>
      <c r="I666" s="2752"/>
      <c r="J666" s="2752"/>
      <c r="K666" s="2752"/>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7">
        <f>IF(OR('Part VI-Pro Forma'!$B$22 = "Choose Mgt Fee",'Part VI-Pro Forma'!$B$22 = "Choose One!"), 0,- 'Part VI-Pro Forma'!$B$22)</f>
        <v>60242</v>
      </c>
      <c r="S667" s="2783"/>
      <c r="T667" s="2783"/>
      <c r="U667" s="2783"/>
      <c r="V667" s="2783"/>
      <c r="W667" s="2783"/>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89">
        <f>'Part V-Revenues &amp; Expenses'!F221</f>
        <v>60000</v>
      </c>
      <c r="G668" s="2589"/>
      <c r="I668" s="359" t="s">
        <v>1300</v>
      </c>
      <c r="L668" s="2589">
        <f>'Part V-Revenues &amp; Expenses'!L221</f>
        <v>0</v>
      </c>
      <c r="M668" s="2589"/>
      <c r="O668" s="2598">
        <f>+Q667/(P514*0.93)</f>
        <v>719.73715651135001</v>
      </c>
      <c r="P668" s="2798" t="s">
        <v>2484</v>
      </c>
      <c r="R668" s="2817"/>
      <c r="S668" s="2783"/>
      <c r="T668" s="2783"/>
      <c r="U668" s="2783"/>
      <c r="V668" s="2783"/>
      <c r="W668" s="2783"/>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89">
        <f>'Part V-Revenues &amp; Expenses'!F222</f>
        <v>40000</v>
      </c>
      <c r="G669" s="2589"/>
      <c r="I669" s="359" t="s">
        <v>1301</v>
      </c>
      <c r="L669" s="2589">
        <f>'Part V-Revenues &amp; Expenses'!L222</f>
        <v>0</v>
      </c>
      <c r="M669" s="2589"/>
      <c r="O669" s="2598">
        <f>+Q667/(P514*0.93)/12</f>
        <v>59.978096375945832</v>
      </c>
      <c r="P669" s="2798" t="s">
        <v>2485</v>
      </c>
      <c r="R669" s="2817"/>
      <c r="S669" s="2783"/>
      <c r="T669" s="2783"/>
      <c r="U669" s="2783"/>
      <c r="V669" s="2783"/>
      <c r="W669" s="2783"/>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89">
        <f>'Part V-Revenues &amp; Expenses'!F223</f>
        <v>20700</v>
      </c>
      <c r="G670" s="2589"/>
      <c r="K670" s="2827" t="s">
        <v>184</v>
      </c>
      <c r="L670" s="2589">
        <f>SUM(L668:M669)</f>
        <v>0</v>
      </c>
      <c r="M670" s="2589"/>
      <c r="O670" s="362" t="s">
        <v>3222</v>
      </c>
      <c r="P670" s="2828"/>
      <c r="Q670" s="2828"/>
      <c r="R670" s="2817"/>
      <c r="S670" s="2783"/>
      <c r="T670" s="2783"/>
      <c r="U670" s="2783"/>
      <c r="V670" s="2783"/>
      <c r="W670" s="2783"/>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29" t="s">
        <v>6631</v>
      </c>
      <c r="F671" s="2589">
        <f>'Part V-Revenues &amp; Expenses'!F224</f>
        <v>15000</v>
      </c>
      <c r="G671" s="2589"/>
      <c r="R671" s="2817"/>
      <c r="S671" s="2783"/>
      <c r="T671" s="2783"/>
      <c r="U671" s="2783"/>
      <c r="V671" s="2783"/>
      <c r="W671" s="2783"/>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29" t="s">
        <v>4019</v>
      </c>
      <c r="F672" s="2589">
        <f>'Part V-Revenues &amp; Expenses'!F225</f>
        <v>0</v>
      </c>
      <c r="G672" s="2589"/>
      <c r="R672" s="2817"/>
      <c r="S672" s="2783"/>
      <c r="T672" s="2783"/>
      <c r="U672" s="2783"/>
      <c r="V672" s="2783"/>
      <c r="W672" s="2783"/>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89">
        <f>'Part V-Revenues &amp; Expenses'!F226</f>
        <v>0</v>
      </c>
      <c r="G673" s="2589"/>
      <c r="I673" s="1747" t="s">
        <v>1215</v>
      </c>
      <c r="R673" s="2817"/>
      <c r="S673" s="2783"/>
      <c r="T673" s="2783"/>
      <c r="U673" s="2783"/>
      <c r="V673" s="2783"/>
      <c r="W673" s="2783"/>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7" t="s">
        <v>184</v>
      </c>
      <c r="F674" s="2589">
        <f>SUM(F668:G673)</f>
        <v>135700</v>
      </c>
      <c r="G674" s="2589"/>
      <c r="I674" s="359" t="s">
        <v>1497</v>
      </c>
      <c r="L674" s="2589">
        <f>'Part V-Revenues &amp; Expenses'!L227</f>
        <v>2500</v>
      </c>
      <c r="M674" s="2589"/>
      <c r="S674" s="2783"/>
      <c r="T674" s="2783"/>
      <c r="U674" s="2783"/>
      <c r="V674" s="2783"/>
      <c r="W674" s="2783"/>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7"/>
      <c r="F675" s="2585"/>
      <c r="G675" s="2585"/>
      <c r="I675" s="359" t="s">
        <v>1899</v>
      </c>
      <c r="L675" s="2589">
        <f>'Part V-Revenues &amp; Expenses'!L228</f>
        <v>5000</v>
      </c>
      <c r="M675" s="2589"/>
      <c r="N675" s="2770" t="str">
        <f>IF(Q677="","",IF(Q675&lt;Q677, "WARNING! OE below required minimum.",""))</f>
        <v/>
      </c>
      <c r="O675" s="1747" t="s">
        <v>2029</v>
      </c>
      <c r="Q675" s="2817">
        <f>F674+F683+F694+L670+L678+L688+L694+Q667</f>
        <v>510892</v>
      </c>
      <c r="S675" s="2783"/>
      <c r="T675" s="2783"/>
      <c r="U675" s="2783"/>
      <c r="V675" s="2783"/>
      <c r="W675" s="2783"/>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0"/>
      <c r="I676" s="359" t="s">
        <v>1498</v>
      </c>
      <c r="L676" s="2589">
        <f>'Part V-Revenues &amp; Expenses'!L229</f>
        <v>2500</v>
      </c>
      <c r="M676" s="2589"/>
      <c r="N676" s="2770"/>
      <c r="O676" s="2798" t="s">
        <v>2486</v>
      </c>
      <c r="P676" s="2598">
        <f>+Q675/P514</f>
        <v>5676.5777777777776</v>
      </c>
      <c r="R676" s="2597"/>
      <c r="S676" s="2783"/>
      <c r="T676" s="2783"/>
      <c r="U676" s="2783"/>
      <c r="V676" s="2783"/>
      <c r="W676" s="2783"/>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0"/>
      <c r="F677" s="2589">
        <f>'Part V-Revenues &amp; Expenses'!F230</f>
        <v>7500</v>
      </c>
      <c r="G677" s="2589"/>
      <c r="I677" s="2831" t="str">
        <f>'Part V-Revenues &amp; Expenses'!I230</f>
        <v>Other (describe here)</v>
      </c>
      <c r="J677" s="2831"/>
      <c r="K677" s="2831"/>
      <c r="L677" s="2589">
        <f>'Part V-Revenues &amp; Expenses'!L230</f>
        <v>0</v>
      </c>
      <c r="M677" s="2589"/>
      <c r="N677" s="2770"/>
      <c r="P677" s="2798" t="s">
        <v>3223</v>
      </c>
      <c r="Q677" s="2817">
        <f>'Part V-Revenues &amp; Expenses'!Q230</f>
        <v>405000</v>
      </c>
      <c r="S677" s="2783"/>
      <c r="T677" s="2783"/>
      <c r="U677" s="2783"/>
      <c r="V677" s="2783"/>
      <c r="W677" s="2783"/>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0"/>
      <c r="F678" s="2589">
        <f>'Part V-Revenues &amp; Expenses'!F231</f>
        <v>7200</v>
      </c>
      <c r="G678" s="2589"/>
      <c r="I678" s="1747"/>
      <c r="K678" s="2827" t="s">
        <v>184</v>
      </c>
      <c r="L678" s="2817">
        <f>SUM(L674:L677)</f>
        <v>10000</v>
      </c>
      <c r="M678" s="2817"/>
      <c r="N678" s="2770"/>
      <c r="O678" s="2832" t="s">
        <v>6724</v>
      </c>
      <c r="P678" s="2832"/>
      <c r="Q678" s="2832"/>
      <c r="S678" s="2783"/>
      <c r="T678" s="2783"/>
      <c r="U678" s="2783"/>
      <c r="V678" s="2783"/>
      <c r="W678" s="2783"/>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0"/>
      <c r="F679" s="2589">
        <f>'Part V-Revenues &amp; Expenses'!F232</f>
        <v>2000</v>
      </c>
      <c r="G679" s="2589"/>
      <c r="O679" s="2832"/>
      <c r="P679" s="2832"/>
      <c r="Q679" s="2832"/>
      <c r="R679" s="2794"/>
      <c r="S679" s="2783"/>
      <c r="T679" s="2783"/>
      <c r="U679" s="2783"/>
      <c r="V679" s="2783"/>
      <c r="W679" s="2783"/>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0"/>
      <c r="F680" s="2589">
        <f>'Part V-Revenues &amp; Expenses'!F233</f>
        <v>0</v>
      </c>
      <c r="G680" s="2589"/>
      <c r="R680" s="2794"/>
      <c r="S680" s="2783"/>
      <c r="T680" s="2783"/>
      <c r="U680" s="2783"/>
      <c r="V680" s="2783"/>
      <c r="W680" s="2783"/>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0"/>
      <c r="F681" s="2589">
        <f>'Part V-Revenues &amp; Expenses'!F234</f>
        <v>0</v>
      </c>
      <c r="G681" s="2589"/>
      <c r="I681" s="1747" t="s">
        <v>1297</v>
      </c>
      <c r="K681" s="1622" t="s">
        <v>3883</v>
      </c>
      <c r="O681" s="1747" t="s">
        <v>3085</v>
      </c>
      <c r="P681" s="1747"/>
      <c r="Q681" s="2599">
        <f>'Part V-Revenues &amp; Expenses'!Q234</f>
        <v>22500</v>
      </c>
      <c r="S681" s="2783"/>
      <c r="T681" s="2783"/>
      <c r="U681" s="2783"/>
      <c r="V681" s="2783"/>
      <c r="W681" s="2783"/>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Admin</v>
      </c>
      <c r="C682" s="362"/>
      <c r="D682" s="362"/>
      <c r="E682" s="362"/>
      <c r="F682" s="2589">
        <f>'Part V-Revenues &amp; Expenses'!F235</f>
        <v>7000</v>
      </c>
      <c r="G682" s="2589"/>
      <c r="I682" s="359" t="s">
        <v>1290</v>
      </c>
      <c r="K682" s="2716">
        <f>L682/12/P514</f>
        <v>4.6296296296296298</v>
      </c>
      <c r="L682" s="2589">
        <f>'Part V-Revenues &amp; Expenses'!L235</f>
        <v>5000</v>
      </c>
      <c r="M682" s="2589"/>
      <c r="N682" s="2770" t="str">
        <f>IF(Q681&lt;Q690, "WARNING! RR proposed is below the DCA required minimum.","")</f>
        <v/>
      </c>
      <c r="O682" s="362" t="s">
        <v>3882</v>
      </c>
      <c r="Q682" s="2600">
        <f>Q681/P690</f>
        <v>250</v>
      </c>
      <c r="R682" s="2817"/>
      <c r="S682" s="2783"/>
      <c r="T682" s="2783"/>
      <c r="U682" s="2783"/>
      <c r="V682" s="2783"/>
      <c r="W682" s="2783"/>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7" t="s">
        <v>184</v>
      </c>
      <c r="F683" s="2589">
        <f>SUM(F677:G682)</f>
        <v>23700</v>
      </c>
      <c r="G683" s="2589"/>
      <c r="I683" s="359" t="s">
        <v>1291</v>
      </c>
      <c r="K683" s="2716">
        <f>L683/12/P514</f>
        <v>0</v>
      </c>
      <c r="L683" s="2589">
        <f>'Part V-Revenues &amp; Expenses'!L236</f>
        <v>0</v>
      </c>
      <c r="M683" s="2589"/>
      <c r="N683" s="2770"/>
      <c r="O683" s="2833" t="s">
        <v>3229</v>
      </c>
      <c r="P683" s="2833"/>
      <c r="Q683" s="2833"/>
      <c r="S683" s="2783"/>
      <c r="T683" s="2783"/>
      <c r="U683" s="2783"/>
      <c r="V683" s="2783"/>
      <c r="W683" s="2783"/>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7"/>
      <c r="F684" s="2585"/>
      <c r="G684" s="2585"/>
      <c r="I684" s="359" t="s">
        <v>3928</v>
      </c>
      <c r="K684" s="2716">
        <f>L684/12/P514</f>
        <v>72.68518518518519</v>
      </c>
      <c r="L684" s="2589">
        <f>'Part V-Revenues &amp; Expenses'!L237</f>
        <v>78500</v>
      </c>
      <c r="M684" s="2589"/>
      <c r="N684" s="2770"/>
      <c r="O684" s="2834" t="s">
        <v>2464</v>
      </c>
      <c r="P684" s="2835" t="s">
        <v>3283</v>
      </c>
      <c r="Q684" s="2835" t="s">
        <v>3054</v>
      </c>
      <c r="S684" s="2783"/>
      <c r="T684" s="2783"/>
      <c r="U684" s="2783"/>
      <c r="V684" s="2783"/>
      <c r="W684" s="2783"/>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0"/>
      <c r="I685" s="359" t="s">
        <v>1293</v>
      </c>
      <c r="K685" s="2716">
        <f>L685/12/P514</f>
        <v>18.518518518518519</v>
      </c>
      <c r="L685" s="2589">
        <f>'Part V-Revenues &amp; Expenses'!L238</f>
        <v>20000</v>
      </c>
      <c r="M685" s="2589"/>
      <c r="N685" s="2770"/>
      <c r="O685" s="404" t="s">
        <v>36</v>
      </c>
      <c r="R685" s="2597"/>
      <c r="S685" s="2783"/>
      <c r="T685" s="2783"/>
      <c r="U685" s="2783"/>
      <c r="V685" s="2783"/>
      <c r="W685" s="2783"/>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0"/>
      <c r="F686" s="2589">
        <f>'Part V-Revenues &amp; Expenses'!F239</f>
        <v>10000</v>
      </c>
      <c r="G686" s="2589"/>
      <c r="I686" s="359" t="s">
        <v>6990</v>
      </c>
      <c r="K686" s="2716">
        <f>L686/12/P514</f>
        <v>0</v>
      </c>
      <c r="L686" s="2589">
        <f>'Part V-Revenues &amp; Expenses'!L239</f>
        <v>0</v>
      </c>
      <c r="M686" s="2589"/>
      <c r="N686" s="2770"/>
      <c r="O686" s="2621" t="s">
        <v>3052</v>
      </c>
      <c r="P686" s="2836" t="str">
        <f>CONCATENATE(SUM(MF496:MJ496)," units x $",'DCA Underwriting Assumptions'!$Q$28," =")</f>
        <v>0 units x $350 =</v>
      </c>
      <c r="Q686" s="2836">
        <f>'Part V-Revenues &amp; Expenses'!Q239</f>
        <v>0</v>
      </c>
      <c r="R686" s="2599"/>
      <c r="S686" s="2783"/>
      <c r="T686" s="2783"/>
      <c r="U686" s="2783"/>
      <c r="V686" s="2783"/>
      <c r="W686" s="2783"/>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0"/>
      <c r="F687" s="2589">
        <f>'Part V-Revenues &amp; Expenses'!F240</f>
        <v>2500</v>
      </c>
      <c r="G687" s="2589"/>
      <c r="I687" s="2831" t="str">
        <f>'Part V-Revenues &amp; Expenses'!I240</f>
        <v>Other (describe here)</v>
      </c>
      <c r="J687" s="2831"/>
      <c r="K687" s="2716">
        <f>L687/12/P514</f>
        <v>0</v>
      </c>
      <c r="L687" s="2589">
        <f>'Part V-Revenues &amp; Expenses'!L240</f>
        <v>0</v>
      </c>
      <c r="M687" s="2589"/>
      <c r="N687" s="2770"/>
      <c r="O687" s="2621" t="s">
        <v>3051</v>
      </c>
      <c r="P687" s="2836" t="str">
        <f>CONCATENATE(SUM(MK496:MO496)," units x $",'DCA Underwriting Assumptions'!$Q$29," =")</f>
        <v>90 units x $250 =</v>
      </c>
      <c r="Q687" s="2836">
        <f>'Part V-Revenues &amp; Expenses'!Q240</f>
        <v>22500</v>
      </c>
      <c r="S687" s="2783"/>
      <c r="T687" s="2783"/>
      <c r="U687" s="2783"/>
      <c r="V687" s="2783"/>
      <c r="W687" s="2783"/>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0"/>
      <c r="F688" s="2589">
        <f>'Part V-Revenues &amp; Expenses'!F241</f>
        <v>12000</v>
      </c>
      <c r="G688" s="2589"/>
      <c r="K688" s="2827" t="s">
        <v>184</v>
      </c>
      <c r="L688" s="2817">
        <f>SUM(L682:L687)</f>
        <v>103500</v>
      </c>
      <c r="M688" s="2817"/>
      <c r="N688" s="2770"/>
      <c r="O688" s="2674" t="s">
        <v>6498</v>
      </c>
      <c r="P688" s="2836" t="str">
        <f>CONCATENATE(SUM(MP496:MT496)," units x $",'DCA Underwriting Assumptions'!$Q$30," =")</f>
        <v>0 units x $420 =</v>
      </c>
      <c r="Q688" s="2836">
        <f>'Part V-Revenues &amp; Expenses'!Q241</f>
        <v>0</v>
      </c>
      <c r="R688" s="2835"/>
      <c r="S688" s="2783"/>
      <c r="T688" s="2783"/>
      <c r="U688" s="2783"/>
      <c r="V688" s="2783"/>
      <c r="W688" s="2783"/>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0"/>
      <c r="F689" s="2589">
        <f>'Part V-Revenues &amp; Expenses'!F242</f>
        <v>5000</v>
      </c>
      <c r="G689" s="2589"/>
      <c r="O689" s="2674" t="s">
        <v>3050</v>
      </c>
      <c r="P689" s="2836" t="str">
        <f>CONCATENATE(P572," units x $",'DCA Underwriting Assumptions'!$Q$31," =")</f>
        <v>0 units x $420 =</v>
      </c>
      <c r="Q689" s="2836">
        <f>'Part V-Revenues &amp; Expenses'!Q242</f>
        <v>0</v>
      </c>
      <c r="S689" s="2783"/>
      <c r="T689" s="2783"/>
      <c r="U689" s="2783"/>
      <c r="V689" s="2783"/>
      <c r="W689" s="2783"/>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0"/>
      <c r="F690" s="2589">
        <f>'Part V-Revenues &amp; Expenses'!F243</f>
        <v>5000</v>
      </c>
      <c r="G690" s="2589"/>
      <c r="I690" s="1747" t="s">
        <v>1298</v>
      </c>
      <c r="O690" s="2787" t="s">
        <v>2467</v>
      </c>
      <c r="P690" s="2781">
        <f>'Part V-Revenues &amp; Expenses'!P243</f>
        <v>90</v>
      </c>
      <c r="Q690" s="2837">
        <f>SUM(Q686:Q689)</f>
        <v>22500</v>
      </c>
      <c r="R690" s="2836"/>
      <c r="S690" s="2783"/>
      <c r="T690" s="2783"/>
      <c r="U690" s="2783"/>
      <c r="V690" s="2783"/>
      <c r="W690" s="2783"/>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0"/>
      <c r="F691" s="2589">
        <f>'Part V-Revenues &amp; Expenses'!F244</f>
        <v>15000</v>
      </c>
      <c r="G691" s="2589"/>
      <c r="I691" s="359" t="s">
        <v>6991</v>
      </c>
      <c r="L691" s="2589">
        <f>'Part V-Revenues &amp; Expenses'!L244</f>
        <v>85000</v>
      </c>
      <c r="M691" s="2589"/>
      <c r="R691" s="2836"/>
      <c r="S691" s="2783"/>
      <c r="T691" s="2783"/>
      <c r="U691" s="2783"/>
      <c r="V691" s="2783"/>
      <c r="W691" s="2783"/>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0"/>
      <c r="F692" s="2589">
        <f>'Part V-Revenues &amp; Expenses'!F245</f>
        <v>5000</v>
      </c>
      <c r="G692" s="2589"/>
      <c r="I692" s="359" t="s">
        <v>140</v>
      </c>
      <c r="L692" s="2589">
        <f>'Part V-Revenues &amp; Expenses'!L245</f>
        <v>38250</v>
      </c>
      <c r="M692" s="2589"/>
      <c r="R692" s="2836"/>
      <c r="S692" s="2783"/>
      <c r="T692" s="2783"/>
      <c r="U692" s="2783"/>
      <c r="V692" s="2783"/>
      <c r="W692" s="2783"/>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89">
        <f>'Part V-Revenues &amp; Expenses'!F246</f>
        <v>0</v>
      </c>
      <c r="G693" s="2589"/>
      <c r="I693" s="2831" t="str">
        <f>'Part V-Revenues &amp; Expenses'!I246</f>
        <v>Other (describe here)</v>
      </c>
      <c r="J693" s="2831"/>
      <c r="K693" s="2831"/>
      <c r="L693" s="2589">
        <f>'Part V-Revenues &amp; Expenses'!L246</f>
        <v>0</v>
      </c>
      <c r="M693" s="2589"/>
      <c r="R693" s="2836"/>
      <c r="S693" s="2783"/>
      <c r="T693" s="2783"/>
      <c r="U693" s="2783"/>
      <c r="V693" s="2783"/>
      <c r="W693" s="2783"/>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7" t="s">
        <v>184</v>
      </c>
      <c r="F694" s="2589">
        <f>SUM(F686:G693)</f>
        <v>54500</v>
      </c>
      <c r="G694" s="2589"/>
      <c r="K694" s="2827" t="s">
        <v>184</v>
      </c>
      <c r="L694" s="2817">
        <f>SUM(L690:L693)</f>
        <v>123250</v>
      </c>
      <c r="M694" s="2817"/>
      <c r="O694" s="1747" t="s">
        <v>2030</v>
      </c>
      <c r="Q694" s="2817">
        <f>Q675+Q681</f>
        <v>533392</v>
      </c>
      <c r="R694" s="2836"/>
      <c r="S694" s="2783"/>
      <c r="T694" s="2783"/>
      <c r="U694" s="2783"/>
      <c r="V694" s="2783"/>
      <c r="W694" s="2783"/>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7"/>
      <c r="F695" s="2585"/>
      <c r="G695" s="2585"/>
      <c r="K695" s="2585"/>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7"/>
      <c r="F696" s="2585"/>
      <c r="G696" s="2585"/>
      <c r="K696" s="2585"/>
      <c r="R696" s="2817"/>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7"/>
      <c r="F697" s="2585"/>
      <c r="G697" s="2585"/>
      <c r="K697" s="2585"/>
      <c r="O697" s="1747"/>
      <c r="Q697" s="2817"/>
      <c r="R697" s="2817"/>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7"/>
      <c r="H698" s="2585"/>
      <c r="I698" s="2601" t="s">
        <v>3873</v>
      </c>
      <c r="K698" s="2817">
        <f>'Part V-Revenues &amp; Expenses'!K251</f>
        <v>0</v>
      </c>
      <c r="L698" s="2817"/>
      <c r="M698" s="2829" t="s">
        <v>3900</v>
      </c>
      <c r="N698" s="2803">
        <f>'Part V-Revenues &amp; Expenses'!N251</f>
        <v>0</v>
      </c>
      <c r="O698" s="1747" t="s">
        <v>3875</v>
      </c>
      <c r="Q698" s="2803">
        <f>K698*N698</f>
        <v>0</v>
      </c>
      <c r="R698" s="2817"/>
      <c r="S698" s="2783"/>
      <c r="T698" s="2783"/>
      <c r="U698" s="2783"/>
      <c r="V698" s="2783"/>
      <c r="W698" s="2783"/>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7"/>
      <c r="F699" s="2585"/>
      <c r="G699" s="2585"/>
      <c r="K699" s="2585"/>
      <c r="O699" s="1747"/>
      <c r="Q699" s="2817"/>
      <c r="R699" s="2817"/>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7"/>
      <c r="F700" s="2585"/>
      <c r="G700" s="2585"/>
      <c r="J700" s="1894" t="str">
        <f>'Part V-Revenues &amp; Expenses'!J253</f>
        <v>&lt;&lt;Select&gt;&gt;</v>
      </c>
      <c r="K700" s="2601" t="s">
        <v>3903</v>
      </c>
      <c r="L700" s="1894" t="str">
        <f>'Part V-Revenues &amp; Expenses'!L253</f>
        <v>&lt;&lt;Select&gt;&gt;</v>
      </c>
      <c r="M700" s="1894" t="s">
        <v>3904</v>
      </c>
      <c r="N700" s="2803">
        <f>'Part V-Revenues &amp; Expenses'!N253</f>
        <v>0</v>
      </c>
      <c r="O700" s="359" t="s">
        <v>3902</v>
      </c>
      <c r="Q700" s="2803">
        <f>'Part V-Revenues &amp; Expenses'!Q253</f>
        <v>0</v>
      </c>
      <c r="R700" s="2817"/>
      <c r="S700" s="2783"/>
      <c r="T700" s="2783"/>
      <c r="U700" s="2783"/>
      <c r="V700" s="2783"/>
      <c r="W700" s="2783"/>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7"/>
      <c r="F701" s="2585"/>
      <c r="G701" s="2585"/>
      <c r="K701" s="2585"/>
      <c r="O701" s="1747"/>
      <c r="Q701" s="2817"/>
      <c r="R701" s="2817"/>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8" t="str">
        <f>'Part V-Revenues &amp; Expenses'!A256</f>
        <v>Applicant used the NOI approach for multifamily properties and consulted with Direct Tax Credits. Direct Tax Credits has experience as a syndicator of LHITC credits in Clayton County, and used the current millage rate and historical data to provide a suggested estimate on taxes for this project. This rate was cross-checked with several other LIHTC properties within Clayton County. The backup for our tax estimate is located in Project Feasibility Folder.
Insurance estimate was provided by our provider based off project information and can also be found in the Feasibility Folder</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3373</v>
      </c>
      <c r="S703" s="2839"/>
      <c r="T703" s="2839"/>
      <c r="U703" s="2839"/>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Helix, ,  County</v>
      </c>
    </row>
    <row r="710" spans="1:11">
      <c r="A710" s="361"/>
      <c r="B710" s="361"/>
      <c r="C710" s="361"/>
      <c r="D710" s="361"/>
      <c r="E710" s="361"/>
      <c r="F710" s="361"/>
      <c r="G710" s="361"/>
      <c r="H710" s="361"/>
      <c r="I710" s="361"/>
      <c r="J710" s="361"/>
      <c r="K710" s="361"/>
    </row>
    <row r="711" spans="1:11" ht="13.5">
      <c r="A711" s="361" t="s">
        <v>85</v>
      </c>
      <c r="C711" s="2770" t="str">
        <f>'Part I-Project Identification'!$A$6</f>
        <v>April 2023</v>
      </c>
      <c r="D711" s="361" t="s">
        <v>75</v>
      </c>
      <c r="E711" s="2755"/>
      <c r="F711" s="2618" t="s">
        <v>6992</v>
      </c>
    </row>
    <row r="712" spans="1:11">
      <c r="C712" s="2770"/>
    </row>
    <row r="713" spans="1:11" ht="12.75" customHeight="1">
      <c r="A713" s="357" t="s">
        <v>2031</v>
      </c>
      <c r="B713" s="2840">
        <f>'DCA Underwriting Assumptions'!$Q$99</f>
        <v>0.02</v>
      </c>
      <c r="C713" s="2770"/>
      <c r="D713" s="2783" t="s">
        <v>6993</v>
      </c>
      <c r="E713" s="2783"/>
      <c r="F713" s="2783"/>
      <c r="G713" s="2602">
        <f>'Part VI-Pro Forma'!G6</f>
        <v>5000</v>
      </c>
      <c r="H713" s="2813" t="s">
        <v>1768</v>
      </c>
      <c r="K713" s="2841">
        <f>'Part VI-Pro Forma'!K6</f>
        <v>-4.1499560469523151E-3</v>
      </c>
    </row>
    <row r="714" spans="1:11">
      <c r="A714" s="357" t="s">
        <v>2032</v>
      </c>
      <c r="B714" s="2840">
        <f>'DCA Underwriting Assumptions'!$Q$102</f>
        <v>0.03</v>
      </c>
      <c r="C714" s="2770"/>
      <c r="D714" s="2783"/>
      <c r="E714" s="2783"/>
      <c r="F714" s="2783"/>
      <c r="G714" s="2842">
        <f>'Part VI-Pro Forma'!G7</f>
        <v>0</v>
      </c>
    </row>
    <row r="715" spans="1:11">
      <c r="A715" s="357" t="s">
        <v>2034</v>
      </c>
      <c r="B715" s="2840">
        <f>'DCA Underwriting Assumptions'!$Q$103</f>
        <v>0.03</v>
      </c>
      <c r="C715" s="2770"/>
      <c r="D715" s="359" t="s">
        <v>258</v>
      </c>
      <c r="G715" s="2843"/>
      <c r="H715" s="2813" t="s">
        <v>2191</v>
      </c>
      <c r="K715" s="2841">
        <f>'Part VI-Pro Forma'!K8</f>
        <v>5.0000330436100276E-2</v>
      </c>
    </row>
    <row r="716" spans="1:11">
      <c r="A716" s="357" t="s">
        <v>2033</v>
      </c>
      <c r="B716" s="2840">
        <f>'Part VI-Pro Forma'!B9</f>
        <v>7.0000000000000007E-2</v>
      </c>
      <c r="C716" s="2614" t="str">
        <f>IF(B716&lt;0.07, "Must be &gt;= 7%!","")</f>
        <v/>
      </c>
      <c r="D716" s="359" t="s">
        <v>2307</v>
      </c>
      <c r="G716" s="2844" t="str">
        <f>'Part VI-Pro Forma'!G9</f>
        <v>Yes</v>
      </c>
      <c r="H716" s="2845" t="s">
        <v>1355</v>
      </c>
      <c r="K716" s="2603">
        <f>'Part VI-Pro Forma'!K9</f>
        <v>60242</v>
      </c>
    </row>
    <row r="717" spans="1:11">
      <c r="A717" s="357" t="s">
        <v>1336</v>
      </c>
      <c r="B717" s="2840">
        <v>0.02</v>
      </c>
      <c r="D717" s="359" t="s">
        <v>1597</v>
      </c>
      <c r="G717" s="2844" t="str">
        <f>'Part VI-Pro Forma'!G10</f>
        <v>No</v>
      </c>
      <c r="H717" s="2845" t="s">
        <v>2174</v>
      </c>
      <c r="K717" s="2604">
        <f>'Part VI-Pro Forma'!K10</f>
        <v>0</v>
      </c>
    </row>
    <row r="719" spans="1:11">
      <c r="A719" s="361" t="s">
        <v>86</v>
      </c>
      <c r="D719" s="2752"/>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5">
        <f>'Part VI-Pro Forma'!B15</f>
        <v>1270116</v>
      </c>
      <c r="C722" s="2605">
        <f>'Part VI-Pro Forma'!C15</f>
        <v>1295518.32</v>
      </c>
      <c r="D722" s="2605">
        <f>'Part VI-Pro Forma'!D15</f>
        <v>1321428.6864</v>
      </c>
      <c r="E722" s="2605">
        <f>'Part VI-Pro Forma'!E15</f>
        <v>1347857.2601279998</v>
      </c>
      <c r="F722" s="2605">
        <f>'Part VI-Pro Forma'!F15</f>
        <v>1374814.4053305599</v>
      </c>
      <c r="G722" s="2605">
        <f>'Part VI-Pro Forma'!G15</f>
        <v>1402310.6934371712</v>
      </c>
      <c r="H722" s="2605">
        <f>'Part VI-Pro Forma'!H15</f>
        <v>1430356.9073059147</v>
      </c>
      <c r="I722" s="2605">
        <f>'Part VI-Pro Forma'!I15</f>
        <v>1458964.0454520327</v>
      </c>
      <c r="J722" s="2605">
        <f>'Part VI-Pro Forma'!J15</f>
        <v>1488143.3263610734</v>
      </c>
      <c r="K722" s="2605">
        <f>'Part VI-Pro Forma'!K15</f>
        <v>1517906.192888295</v>
      </c>
    </row>
    <row r="723" spans="1:11">
      <c r="A723" s="357" t="s">
        <v>952</v>
      </c>
      <c r="B723" s="2605">
        <f>'Part VI-Pro Forma'!B16</f>
        <v>25402.32</v>
      </c>
      <c r="C723" s="2605">
        <f>'Part VI-Pro Forma'!C16</f>
        <v>25910.366399999999</v>
      </c>
      <c r="D723" s="2605">
        <f>'Part VI-Pro Forma'!D16</f>
        <v>26428.573727999999</v>
      </c>
      <c r="E723" s="2605">
        <f>'Part VI-Pro Forma'!E16</f>
        <v>26957.145202559997</v>
      </c>
      <c r="F723" s="2605">
        <f>'Part VI-Pro Forma'!F16</f>
        <v>27496.288106611199</v>
      </c>
      <c r="G723" s="2605">
        <f>'Part VI-Pro Forma'!G16</f>
        <v>28046.213868743424</v>
      </c>
      <c r="H723" s="2605">
        <f>'Part VI-Pro Forma'!H16</f>
        <v>28607.138146118294</v>
      </c>
      <c r="I723" s="2605">
        <f>'Part VI-Pro Forma'!I16</f>
        <v>29179.280909040652</v>
      </c>
      <c r="J723" s="2605">
        <f>'Part VI-Pro Forma'!J16</f>
        <v>29762.866527221468</v>
      </c>
      <c r="K723" s="2605">
        <f>'Part VI-Pro Forma'!K16</f>
        <v>30358.123857765899</v>
      </c>
    </row>
    <row r="724" spans="1:11">
      <c r="A724" s="357" t="s">
        <v>2216</v>
      </c>
      <c r="B724" s="2605">
        <f>'Part VI-Pro Forma'!B17</f>
        <v>-90686.282400000011</v>
      </c>
      <c r="C724" s="2605">
        <f>'Part VI-Pro Forma'!C17</f>
        <v>-92500.008048000003</v>
      </c>
      <c r="D724" s="2605">
        <f>'Part VI-Pro Forma'!D17</f>
        <v>-94350.008208960018</v>
      </c>
      <c r="E724" s="2605">
        <f>'Part VI-Pro Forma'!E17</f>
        <v>-96237.008373139193</v>
      </c>
      <c r="F724" s="2605">
        <f>'Part VI-Pro Forma'!F17</f>
        <v>-98161.748540601984</v>
      </c>
      <c r="G724" s="2605">
        <f>'Part VI-Pro Forma'!G17</f>
        <v>-100124.98351141403</v>
      </c>
      <c r="H724" s="2605">
        <f>'Part VI-Pro Forma'!H17</f>
        <v>-102127.48318164231</v>
      </c>
      <c r="I724" s="2605">
        <f>'Part VI-Pro Forma'!I17</f>
        <v>-104170.03284527514</v>
      </c>
      <c r="J724" s="2605">
        <f>'Part VI-Pro Forma'!J17</f>
        <v>-106253.43350218065</v>
      </c>
      <c r="K724" s="2605">
        <f>'Part VI-Pro Forma'!K17</f>
        <v>-108378.50217222428</v>
      </c>
    </row>
    <row r="725" spans="1:11">
      <c r="A725" s="357" t="s">
        <v>47</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48</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3837</v>
      </c>
      <c r="B727" s="2605">
        <f>'Part VI-Pro Forma'!B20</f>
        <v>1204832.0376000002</v>
      </c>
      <c r="C727" s="2605">
        <f>'Part VI-Pro Forma'!C20</f>
        <v>1228928.678352</v>
      </c>
      <c r="D727" s="2605">
        <f>'Part VI-Pro Forma'!D20</f>
        <v>1253507.25191904</v>
      </c>
      <c r="E727" s="2605">
        <f>'Part VI-Pro Forma'!E20</f>
        <v>1278577.3969574205</v>
      </c>
      <c r="F727" s="2605">
        <f>'Part VI-Pro Forma'!F20</f>
        <v>1304148.9448965692</v>
      </c>
      <c r="G727" s="2605">
        <f>'Part VI-Pro Forma'!G20</f>
        <v>1330231.9237945005</v>
      </c>
      <c r="H727" s="2605">
        <f>'Part VI-Pro Forma'!H20</f>
        <v>1356836.5622703906</v>
      </c>
      <c r="I727" s="2605">
        <f>'Part VI-Pro Forma'!I20</f>
        <v>1383973.2935157982</v>
      </c>
      <c r="J727" s="2605">
        <f>'Part VI-Pro Forma'!J20</f>
        <v>1411652.7593861141</v>
      </c>
      <c r="K727" s="2605">
        <f>'Part VI-Pro Forma'!K20</f>
        <v>1439885.8145738367</v>
      </c>
    </row>
    <row r="728" spans="1:11">
      <c r="A728" s="357" t="s">
        <v>572</v>
      </c>
      <c r="B728" s="2605">
        <f>'Part VI-Pro Forma'!B21</f>
        <v>-450650</v>
      </c>
      <c r="C728" s="2605">
        <f>'Part VI-Pro Forma'!C21</f>
        <v>-464169.5</v>
      </c>
      <c r="D728" s="2605">
        <f>'Part VI-Pro Forma'!D21</f>
        <v>-478094.58499999996</v>
      </c>
      <c r="E728" s="2605">
        <f>'Part VI-Pro Forma'!E21</f>
        <v>-492437.42255000002</v>
      </c>
      <c r="F728" s="2605">
        <f>'Part VI-Pro Forma'!F21</f>
        <v>-507210.54522649996</v>
      </c>
      <c r="G728" s="2605">
        <f>'Part VI-Pro Forma'!G21</f>
        <v>-522426.86158329493</v>
      </c>
      <c r="H728" s="2605">
        <f>'Part VI-Pro Forma'!H21</f>
        <v>-538099.66743079387</v>
      </c>
      <c r="I728" s="2605">
        <f>'Part VI-Pro Forma'!I21</f>
        <v>-554242.65745371766</v>
      </c>
      <c r="J728" s="2605">
        <f>'Part VI-Pro Forma'!J21</f>
        <v>-570869.93717732909</v>
      </c>
      <c r="K728" s="2605">
        <f>'Part VI-Pro Forma'!K21</f>
        <v>-587996.03529264906</v>
      </c>
    </row>
    <row r="729" spans="1:11">
      <c r="A729" s="357" t="s">
        <v>1050</v>
      </c>
      <c r="B729" s="2605">
        <f>'Part VI-Pro Forma'!B22</f>
        <v>-60242</v>
      </c>
      <c r="C729" s="2605">
        <f>'Part VI-Pro Forma'!C22</f>
        <v>-62049</v>
      </c>
      <c r="D729" s="2605">
        <f>'Part VI-Pro Forma'!D22</f>
        <v>-63911</v>
      </c>
      <c r="E729" s="2605">
        <f>'Part VI-Pro Forma'!E22</f>
        <v>-65828</v>
      </c>
      <c r="F729" s="2605">
        <f>'Part VI-Pro Forma'!F22</f>
        <v>-67803</v>
      </c>
      <c r="G729" s="2605">
        <f>'Part VI-Pro Forma'!G22</f>
        <v>-69837</v>
      </c>
      <c r="H729" s="2605">
        <f>'Part VI-Pro Forma'!H22</f>
        <v>-71932</v>
      </c>
      <c r="I729" s="2605">
        <f>'Part VI-Pro Forma'!I22</f>
        <v>-74090</v>
      </c>
      <c r="J729" s="2605">
        <f>'Part VI-Pro Forma'!J22</f>
        <v>-76313</v>
      </c>
      <c r="K729" s="2605">
        <f>'Part VI-Pro Forma'!K22</f>
        <v>-78602</v>
      </c>
    </row>
    <row r="730" spans="1:11">
      <c r="A730" s="357" t="s">
        <v>1128</v>
      </c>
      <c r="B730" s="2605">
        <f>'Part VI-Pro Forma'!B23</f>
        <v>-22500</v>
      </c>
      <c r="C730" s="2605">
        <f>'Part VI-Pro Forma'!C23</f>
        <v>-23175</v>
      </c>
      <c r="D730" s="2605">
        <f>'Part VI-Pro Forma'!D23</f>
        <v>-23870.25</v>
      </c>
      <c r="E730" s="2605">
        <f>'Part VI-Pro Forma'!E23</f>
        <v>-24586.357500000002</v>
      </c>
      <c r="F730" s="2605">
        <f>'Part VI-Pro Forma'!F23</f>
        <v>-25323.948224999996</v>
      </c>
      <c r="G730" s="2605">
        <f>'Part VI-Pro Forma'!G23</f>
        <v>-26083.666671749997</v>
      </c>
      <c r="H730" s="2605">
        <f>'Part VI-Pro Forma'!H23</f>
        <v>-26866.176671902496</v>
      </c>
      <c r="I730" s="2605">
        <f>'Part VI-Pro Forma'!I23</f>
        <v>-27672.161972059574</v>
      </c>
      <c r="J730" s="2605">
        <f>'Part VI-Pro Forma'!J23</f>
        <v>-28502.326831221359</v>
      </c>
      <c r="K730" s="2605">
        <f>'Part VI-Pro Forma'!K23</f>
        <v>-29357.396636157999</v>
      </c>
    </row>
    <row r="731" spans="1:11">
      <c r="A731" s="357" t="s">
        <v>3836</v>
      </c>
      <c r="B731" s="2605">
        <f>'Part VI-Pro Forma'!B24</f>
        <v>0</v>
      </c>
      <c r="C731" s="2605">
        <f>'Part VI-Pro Forma'!C24</f>
        <v>0</v>
      </c>
      <c r="D731" s="2605">
        <f>'Part VI-Pro Forma'!D24</f>
        <v>0</v>
      </c>
      <c r="E731" s="2605">
        <f>'Part VI-Pro Forma'!E24</f>
        <v>0</v>
      </c>
      <c r="F731" s="2605">
        <f>'Part VI-Pro Forma'!F24</f>
        <v>0</v>
      </c>
      <c r="G731" s="2605">
        <f>'Part VI-Pro Forma'!G24</f>
        <v>0</v>
      </c>
      <c r="H731" s="2605">
        <f>'Part VI-Pro Forma'!H24</f>
        <v>0</v>
      </c>
      <c r="I731" s="2605">
        <f>'Part VI-Pro Forma'!I24</f>
        <v>0</v>
      </c>
      <c r="J731" s="2605">
        <f>'Part VI-Pro Forma'!J24</f>
        <v>0</v>
      </c>
      <c r="K731" s="2605">
        <f>'Part VI-Pro Forma'!K24</f>
        <v>0</v>
      </c>
    </row>
    <row r="732" spans="1:11">
      <c r="A732" s="357" t="s">
        <v>1129</v>
      </c>
      <c r="B732" s="2605">
        <f>SUM(B727:B731)</f>
        <v>671440.03760000016</v>
      </c>
      <c r="C732" s="2605">
        <f t="shared" ref="C732:J732" si="377">SUM(C727:C731)</f>
        <v>679535.17835199996</v>
      </c>
      <c r="D732" s="2605">
        <f t="shared" si="377"/>
        <v>687631.41691904003</v>
      </c>
      <c r="E732" s="2605">
        <f t="shared" si="377"/>
        <v>695725.61690742045</v>
      </c>
      <c r="F732" s="2605">
        <f t="shared" si="377"/>
        <v>703811.4514450694</v>
      </c>
      <c r="G732" s="2605">
        <f t="shared" si="377"/>
        <v>711884.39553945558</v>
      </c>
      <c r="H732" s="2605">
        <f t="shared" si="377"/>
        <v>719938.71816769417</v>
      </c>
      <c r="I732" s="2605">
        <f t="shared" si="377"/>
        <v>727968.47409002099</v>
      </c>
      <c r="J732" s="2605">
        <f t="shared" si="377"/>
        <v>735967.49537756364</v>
      </c>
      <c r="K732" s="2605">
        <f>SUM(K727:K731)</f>
        <v>743930.38264502969</v>
      </c>
    </row>
    <row r="733" spans="1:11">
      <c r="A733" s="357" t="s">
        <v>1486</v>
      </c>
      <c r="B733" s="2605">
        <f>'Part VI-Pro Forma'!B26</f>
        <v>-512433.2280002333</v>
      </c>
      <c r="C733" s="2605">
        <f>'Part VI-Pro Forma'!C26</f>
        <v>-512433.2280002333</v>
      </c>
      <c r="D733" s="2605">
        <f>'Part VI-Pro Forma'!D26</f>
        <v>-512433.2280002333</v>
      </c>
      <c r="E733" s="2605">
        <f>'Part VI-Pro Forma'!E26</f>
        <v>-512433.2280002333</v>
      </c>
      <c r="F733" s="2605">
        <f>'Part VI-Pro Forma'!F26</f>
        <v>-512433.2280002333</v>
      </c>
      <c r="G733" s="2605">
        <f>'Part VI-Pro Forma'!G26</f>
        <v>-512433.2280002333</v>
      </c>
      <c r="H733" s="2605">
        <f>'Part VI-Pro Forma'!H26</f>
        <v>-512433.2280002333</v>
      </c>
      <c r="I733" s="2605">
        <f>'Part VI-Pro Forma'!I26</f>
        <v>-512433.2280002333</v>
      </c>
      <c r="J733" s="2605">
        <f>'Part VI-Pro Forma'!J26</f>
        <v>-512433.2280002333</v>
      </c>
      <c r="K733" s="2605">
        <f>'Part VI-Pro Forma'!K26</f>
        <v>-512433.2280002333</v>
      </c>
    </row>
    <row r="734" spans="1:11">
      <c r="A734" s="357" t="s">
        <v>1487</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1488</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3284</v>
      </c>
      <c r="B736" s="2605">
        <f>'Part VI-Pro Forma'!B29</f>
        <v>0</v>
      </c>
      <c r="C736" s="2605">
        <f>'Part VI-Pro Forma'!C29</f>
        <v>0</v>
      </c>
      <c r="D736" s="2605">
        <f>'Part VI-Pro Forma'!D29</f>
        <v>0</v>
      </c>
      <c r="E736" s="2605">
        <f>'Part VI-Pro Forma'!E29</f>
        <v>0</v>
      </c>
      <c r="F736" s="2605">
        <f>'Part VI-Pro Forma'!F29</f>
        <v>0</v>
      </c>
      <c r="G736" s="2605">
        <f>'Part VI-Pro Forma'!G29</f>
        <v>0</v>
      </c>
      <c r="H736" s="2605">
        <f>'Part VI-Pro Forma'!H29</f>
        <v>0</v>
      </c>
      <c r="I736" s="2605">
        <f>'Part VI-Pro Forma'!I29</f>
        <v>0</v>
      </c>
      <c r="J736" s="2605">
        <f>'Part VI-Pro Forma'!J29</f>
        <v>0</v>
      </c>
      <c r="K736" s="2605">
        <f>'Part VI-Pro Forma'!K29</f>
        <v>0</v>
      </c>
    </row>
    <row r="737" spans="1:11">
      <c r="A737" s="357" t="s">
        <v>711</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1095</v>
      </c>
      <c r="B738" s="2605">
        <f>'Part VI-Pro Forma'!B31</f>
        <v>-5000</v>
      </c>
      <c r="C738" s="2605">
        <f>'Part VI-Pro Forma'!C31</f>
        <v>-5000</v>
      </c>
      <c r="D738" s="2605">
        <f>'Part VI-Pro Forma'!D31</f>
        <v>-5000</v>
      </c>
      <c r="E738" s="2605">
        <f>'Part VI-Pro Forma'!E31</f>
        <v>-5000</v>
      </c>
      <c r="F738" s="2605">
        <f>'Part VI-Pro Forma'!F31</f>
        <v>-5000</v>
      </c>
      <c r="G738" s="2605">
        <f>'Part VI-Pro Forma'!G31</f>
        <v>-5000</v>
      </c>
      <c r="H738" s="2605">
        <f>'Part VI-Pro Forma'!H31</f>
        <v>-5000</v>
      </c>
      <c r="I738" s="2605">
        <f>'Part VI-Pro Forma'!I31</f>
        <v>-5000</v>
      </c>
      <c r="J738" s="2605">
        <f>'Part VI-Pro Forma'!J31</f>
        <v>-5000</v>
      </c>
      <c r="K738" s="2605">
        <f>'Part VI-Pro Forma'!K31</f>
        <v>-5000</v>
      </c>
    </row>
    <row r="739" spans="1:11">
      <c r="A739" s="357" t="s">
        <v>3361</v>
      </c>
      <c r="B739" s="2605">
        <f>'Part VI-Pro Forma'!B32</f>
        <v>-122806</v>
      </c>
      <c r="C739" s="2605">
        <f>'Part VI-Pro Forma'!C32</f>
        <v>0</v>
      </c>
      <c r="D739" s="2605">
        <f>'Part VI-Pro Forma'!D32</f>
        <v>0</v>
      </c>
      <c r="E739" s="2605">
        <f>'Part VI-Pro Forma'!E32</f>
        <v>0</v>
      </c>
      <c r="F739" s="2605">
        <f>'Part VI-Pro Forma'!F32</f>
        <v>0</v>
      </c>
      <c r="G739" s="2605">
        <f>'Part VI-Pro Forma'!G32</f>
        <v>0</v>
      </c>
      <c r="H739" s="2605">
        <f>'Part VI-Pro Forma'!H32</f>
        <v>0</v>
      </c>
      <c r="I739" s="2605">
        <f>'Part VI-Pro Forma'!I32</f>
        <v>0</v>
      </c>
      <c r="J739" s="2605">
        <f>'Part VI-Pro Forma'!J32</f>
        <v>0</v>
      </c>
      <c r="K739" s="2605">
        <f>'Part VI-Pro Forma'!K32</f>
        <v>0</v>
      </c>
    </row>
    <row r="740" spans="1:11">
      <c r="A740" s="357" t="s">
        <v>1096</v>
      </c>
      <c r="B740" s="2605">
        <f t="shared" ref="B740:K740" si="378">SUM(B732:B739)</f>
        <v>31200.809599766857</v>
      </c>
      <c r="C740" s="2605">
        <f t="shared" si="378"/>
        <v>162101.95035176666</v>
      </c>
      <c r="D740" s="2605">
        <f t="shared" si="378"/>
        <v>170198.18891880673</v>
      </c>
      <c r="E740" s="2605">
        <f t="shared" si="378"/>
        <v>178292.38890718715</v>
      </c>
      <c r="F740" s="2605">
        <f t="shared" si="378"/>
        <v>186378.2234448361</v>
      </c>
      <c r="G740" s="2605">
        <f t="shared" si="378"/>
        <v>194451.16753922228</v>
      </c>
      <c r="H740" s="2605">
        <f t="shared" si="378"/>
        <v>202505.49016746087</v>
      </c>
      <c r="I740" s="2605">
        <f t="shared" si="378"/>
        <v>210535.24608978769</v>
      </c>
      <c r="J740" s="2605">
        <f t="shared" si="378"/>
        <v>218534.26737733034</v>
      </c>
      <c r="K740" s="2605">
        <f t="shared" si="378"/>
        <v>226497.15464479639</v>
      </c>
    </row>
    <row r="741" spans="1:11">
      <c r="A741" s="357" t="str">
        <f>IF('Part II-Sources of Funds'!$E$40 = "Neither", "", "DCR Mortgage A")</f>
        <v>DCR Mortgage A</v>
      </c>
      <c r="B741" s="2606">
        <f t="shared" ref="B741:K741" si="379">IF(B733=0,"",-B732/B733)</f>
        <v>1.3102976171554872</v>
      </c>
      <c r="C741" s="2606">
        <f t="shared" si="379"/>
        <v>1.3260950719450428</v>
      </c>
      <c r="D741" s="2606">
        <f t="shared" si="379"/>
        <v>1.341894669091847</v>
      </c>
      <c r="E741" s="2606">
        <f t="shared" si="379"/>
        <v>1.3576902880058819</v>
      </c>
      <c r="F741" s="2606">
        <f t="shared" si="379"/>
        <v>1.3734695819622942</v>
      </c>
      <c r="G741" s="2606">
        <f t="shared" si="379"/>
        <v>1.3892237205568789</v>
      </c>
      <c r="H741" s="2606">
        <f t="shared" si="379"/>
        <v>1.4049415198488384</v>
      </c>
      <c r="I741" s="2606">
        <f t="shared" si="379"/>
        <v>1.420611377858755</v>
      </c>
      <c r="J741" s="2606">
        <f t="shared" si="379"/>
        <v>1.4362212580352587</v>
      </c>
      <c r="K741" s="2606">
        <f t="shared" si="379"/>
        <v>1.4517606236196123</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729</v>
      </c>
      <c r="B744" s="2606" t="str">
        <f t="shared" ref="B744:K744" si="382">IF(B736=0,"",-(B732+B733+B734+B735)/B736)</f>
        <v/>
      </c>
      <c r="C744" s="2606" t="str">
        <f t="shared" si="382"/>
        <v/>
      </c>
      <c r="D744" s="2606" t="str">
        <f t="shared" si="382"/>
        <v/>
      </c>
      <c r="E744" s="2606" t="str">
        <f t="shared" si="382"/>
        <v/>
      </c>
      <c r="F744" s="2606" t="str">
        <f t="shared" si="382"/>
        <v/>
      </c>
      <c r="G744" s="2606" t="str">
        <f t="shared" si="382"/>
        <v/>
      </c>
      <c r="H744" s="2606" t="str">
        <f t="shared" si="382"/>
        <v/>
      </c>
      <c r="I744" s="2606" t="str">
        <f t="shared" si="382"/>
        <v/>
      </c>
      <c r="J744" s="2606" t="str">
        <f t="shared" si="382"/>
        <v/>
      </c>
      <c r="K744" s="2606" t="str">
        <f t="shared" si="382"/>
        <v/>
      </c>
    </row>
    <row r="745" spans="1:11">
      <c r="A745" s="357" t="s">
        <v>3213</v>
      </c>
      <c r="B745" s="2606">
        <f t="shared" ref="B745:K745" si="383">IF(AND(B733=0,B734=0,B735=0,B736=0),"",-B732/(B733+B734+B735+B736))</f>
        <v>1.3102976171554872</v>
      </c>
      <c r="C745" s="2606">
        <f t="shared" si="383"/>
        <v>1.3260950719450428</v>
      </c>
      <c r="D745" s="2606">
        <f t="shared" si="383"/>
        <v>1.341894669091847</v>
      </c>
      <c r="E745" s="2606">
        <f t="shared" si="383"/>
        <v>1.3576902880058819</v>
      </c>
      <c r="F745" s="2606">
        <f t="shared" si="383"/>
        <v>1.3734695819622942</v>
      </c>
      <c r="G745" s="2606">
        <f t="shared" si="383"/>
        <v>1.3892237205568789</v>
      </c>
      <c r="H745" s="2606">
        <f t="shared" si="383"/>
        <v>1.4049415198488384</v>
      </c>
      <c r="I745" s="2606">
        <f t="shared" si="383"/>
        <v>1.420611377858755</v>
      </c>
      <c r="J745" s="2606">
        <f t="shared" si="383"/>
        <v>1.4362212580352587</v>
      </c>
      <c r="K745" s="2606">
        <f t="shared" si="383"/>
        <v>1.4517606236196123</v>
      </c>
    </row>
    <row r="746" spans="1:11">
      <c r="A746" s="357" t="s">
        <v>718</v>
      </c>
      <c r="B746" s="2607">
        <f t="shared" ref="B746:K746" si="384">IF(OR(B729="Choose mgt fee",B729="Choose One!"),"",(B722+B723+B724+B725+B726) / -(B728+B729+B730))</f>
        <v>2.2588116012238655</v>
      </c>
      <c r="C746" s="2607">
        <f t="shared" si="384"/>
        <v>2.2368824501054343</v>
      </c>
      <c r="D746" s="2607">
        <f t="shared" si="384"/>
        <v>2.2151630700382179</v>
      </c>
      <c r="E746" s="2607">
        <f t="shared" si="384"/>
        <v>2.193657874473228</v>
      </c>
      <c r="F746" s="2607">
        <f t="shared" si="384"/>
        <v>2.1723596462361034</v>
      </c>
      <c r="G746" s="2607">
        <f t="shared" si="384"/>
        <v>2.1512690889997867</v>
      </c>
      <c r="H746" s="2607">
        <f t="shared" si="384"/>
        <v>2.1303833492826327</v>
      </c>
      <c r="I746" s="2607">
        <f t="shared" si="384"/>
        <v>2.1096998871551524</v>
      </c>
      <c r="J746" s="2607">
        <f t="shared" si="384"/>
        <v>2.0892164363795427</v>
      </c>
      <c r="K746" s="2607">
        <f t="shared" si="384"/>
        <v>2.068933941047435</v>
      </c>
    </row>
    <row r="747" spans="1:11">
      <c r="A747" s="357" t="s">
        <v>2405</v>
      </c>
      <c r="B747" s="2605">
        <f>'Part VI-Pro Forma'!B40</f>
        <v>7214293.8536506379</v>
      </c>
      <c r="C747" s="2605">
        <f>'Part VI-Pro Forma'!C40</f>
        <v>7150960.1639878536</v>
      </c>
      <c r="D747" s="2605">
        <f>'Part VI-Pro Forma'!D40</f>
        <v>7083552.7364802435</v>
      </c>
      <c r="E747" s="2605">
        <f>'Part VI-Pro Forma'!E40</f>
        <v>7011809.5409173984</v>
      </c>
      <c r="F747" s="2605">
        <f>'Part VI-Pro Forma'!F40</f>
        <v>6935451.6928302925</v>
      </c>
      <c r="G747" s="2605">
        <f>'Part VI-Pro Forma'!G40</f>
        <v>6854182.3693947885</v>
      </c>
      <c r="H747" s="2605">
        <f>'Part VI-Pro Forma'!H40</f>
        <v>6767685.6556040822</v>
      </c>
      <c r="I747" s="2605">
        <f>'Part VI-Pro Forma'!I40</f>
        <v>6675625.3162248721</v>
      </c>
      <c r="J747" s="2605">
        <f>'Part VI-Pro Forma'!J40</f>
        <v>6577643.4887635149</v>
      </c>
      <c r="K747" s="2605">
        <f>'Part VI-Pro Forma'!K40</f>
        <v>6473359.2923613964</v>
      </c>
    </row>
    <row r="748" spans="1:11">
      <c r="A748" s="357" t="s">
        <v>2406</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2407</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730</v>
      </c>
      <c r="B750" s="2605" t="str">
        <f>'Part VI-Pro Forma'!B43</f>
        <v/>
      </c>
      <c r="C750" s="2605" t="str">
        <f>'Part VI-Pro Forma'!C43</f>
        <v/>
      </c>
      <c r="D750" s="2605" t="str">
        <f>'Part VI-Pro Forma'!D43</f>
        <v/>
      </c>
      <c r="E750" s="2605" t="str">
        <f>'Part VI-Pro Forma'!E43</f>
        <v/>
      </c>
      <c r="F750" s="2605" t="str">
        <f>'Part VI-Pro Forma'!F43</f>
        <v/>
      </c>
      <c r="G750" s="2605" t="str">
        <f>'Part VI-Pro Forma'!G43</f>
        <v/>
      </c>
      <c r="H750" s="2605" t="str">
        <f>'Part VI-Pro Forma'!H43</f>
        <v/>
      </c>
      <c r="I750" s="2605" t="str">
        <f>'Part VI-Pro Forma'!I43</f>
        <v/>
      </c>
      <c r="J750" s="2605" t="str">
        <f>'Part VI-Pro Forma'!J43</f>
        <v/>
      </c>
      <c r="K750" s="2605" t="str">
        <f>'Part VI-Pro Forma'!K43</f>
        <v/>
      </c>
    </row>
    <row r="751" spans="1:11">
      <c r="A751" s="357" t="s">
        <v>3362</v>
      </c>
      <c r="B751" s="2605">
        <f>'Part VI-Pro Forma'!B44</f>
        <v>0</v>
      </c>
      <c r="C751" s="2605">
        <f>'Part VI-Pro Forma'!C44</f>
        <v>0</v>
      </c>
      <c r="D751" s="2605">
        <f>'Part VI-Pro Forma'!D44</f>
        <v>0</v>
      </c>
      <c r="E751" s="2605">
        <f>'Part VI-Pro Forma'!E44</f>
        <v>0</v>
      </c>
      <c r="F751" s="2605">
        <f>'Part VI-Pro Forma'!F44</f>
        <v>0</v>
      </c>
      <c r="G751" s="2605">
        <f>'Part VI-Pro Forma'!G44</f>
        <v>0</v>
      </c>
      <c r="H751" s="2605">
        <f>'Part VI-Pro Forma'!H44</f>
        <v>0</v>
      </c>
      <c r="I751" s="2605">
        <f>'Part VI-Pro Forma'!I44</f>
        <v>0</v>
      </c>
      <c r="J751" s="2605">
        <f>'Part VI-Pro Forma'!J44</f>
        <v>0</v>
      </c>
      <c r="K751" s="2605">
        <f>'Part VI-Pro Forma'!K44</f>
        <v>0</v>
      </c>
    </row>
    <row r="752" spans="1:11">
      <c r="B752" s="2605"/>
      <c r="C752" s="2605"/>
      <c r="D752" s="2605"/>
      <c r="E752" s="2605"/>
      <c r="F752" s="2605"/>
      <c r="G752" s="2605"/>
      <c r="H752" s="2605"/>
      <c r="I752" s="2605"/>
      <c r="J752" s="2605"/>
      <c r="K752" s="2605"/>
    </row>
    <row r="753" spans="1:11">
      <c r="A753" s="361" t="s">
        <v>2284</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2215</v>
      </c>
      <c r="B754" s="2605">
        <f>'Part VI-Pro Forma'!B47</f>
        <v>1548264.316746061</v>
      </c>
      <c r="C754" s="2605">
        <f>'Part VI-Pro Forma'!C47</f>
        <v>1579229.6030809819</v>
      </c>
      <c r="D754" s="2605">
        <f>'Part VI-Pro Forma'!D47</f>
        <v>1610814.1951426018</v>
      </c>
      <c r="E754" s="2605">
        <f>'Part VI-Pro Forma'!E47</f>
        <v>1643030.4790454537</v>
      </c>
      <c r="F754" s="2605">
        <f>'Part VI-Pro Forma'!F47</f>
        <v>1675891.0886263628</v>
      </c>
      <c r="G754" s="2605">
        <f>'Part VI-Pro Forma'!G47</f>
        <v>1709408.9103988898</v>
      </c>
      <c r="H754" s="2605">
        <f>'Part VI-Pro Forma'!H47</f>
        <v>1743597.0886068677</v>
      </c>
      <c r="I754" s="2605">
        <f>'Part VI-Pro Forma'!I47</f>
        <v>1778469.0303790052</v>
      </c>
      <c r="J754" s="2605">
        <f>'Part VI-Pro Forma'!J47</f>
        <v>1814038.4109865853</v>
      </c>
      <c r="K754" s="2605">
        <f>'Part VI-Pro Forma'!K47</f>
        <v>1850319.1792063168</v>
      </c>
    </row>
    <row r="755" spans="1:11">
      <c r="A755" s="357" t="s">
        <v>952</v>
      </c>
      <c r="B755" s="2605">
        <f>'Part VI-Pro Forma'!B48</f>
        <v>30965.286334921217</v>
      </c>
      <c r="C755" s="2605">
        <f>'Part VI-Pro Forma'!C48</f>
        <v>31584.592061619638</v>
      </c>
      <c r="D755" s="2605">
        <f>'Part VI-Pro Forma'!D48</f>
        <v>32216.283902852036</v>
      </c>
      <c r="E755" s="2605">
        <f>'Part VI-Pro Forma'!E48</f>
        <v>32860.609580909077</v>
      </c>
      <c r="F755" s="2605">
        <f>'Part VI-Pro Forma'!F48</f>
        <v>33517.821772527255</v>
      </c>
      <c r="G755" s="2605">
        <f>'Part VI-Pro Forma'!G48</f>
        <v>34188.178207977791</v>
      </c>
      <c r="H755" s="2605">
        <f>'Part VI-Pro Forma'!H48</f>
        <v>34871.941772137354</v>
      </c>
      <c r="I755" s="2605">
        <f>'Part VI-Pro Forma'!I48</f>
        <v>35569.380607580104</v>
      </c>
      <c r="J755" s="2605">
        <f>'Part VI-Pro Forma'!J48</f>
        <v>36280.768219731704</v>
      </c>
      <c r="K755" s="2605">
        <f>'Part VI-Pro Forma'!K48</f>
        <v>37006.383584126335</v>
      </c>
    </row>
    <row r="756" spans="1:11">
      <c r="A756" s="357" t="s">
        <v>2216</v>
      </c>
      <c r="B756" s="2605">
        <f>'Part VI-Pro Forma'!B49</f>
        <v>-110546.07221566876</v>
      </c>
      <c r="C756" s="2605">
        <f>'Part VI-Pro Forma'!C49</f>
        <v>-112756.99365998212</v>
      </c>
      <c r="D756" s="2605">
        <f>'Part VI-Pro Forma'!D49</f>
        <v>-115012.13353318178</v>
      </c>
      <c r="E756" s="2605">
        <f>'Part VI-Pro Forma'!E49</f>
        <v>-117312.37620384542</v>
      </c>
      <c r="F756" s="2605">
        <f>'Part VI-Pro Forma'!F49</f>
        <v>-119658.62372792231</v>
      </c>
      <c r="G756" s="2605">
        <f>'Part VI-Pro Forma'!G49</f>
        <v>-122051.79620248073</v>
      </c>
      <c r="H756" s="2605">
        <f>'Part VI-Pro Forma'!H49</f>
        <v>-124492.83212653037</v>
      </c>
      <c r="I756" s="2605">
        <f>'Part VI-Pro Forma'!I49</f>
        <v>-126982.68876906099</v>
      </c>
      <c r="J756" s="2605">
        <f>'Part VI-Pro Forma'!J49</f>
        <v>-129522.3425444422</v>
      </c>
      <c r="K756" s="2605">
        <f>'Part VI-Pro Forma'!K49</f>
        <v>-132112.78939533103</v>
      </c>
    </row>
    <row r="757" spans="1:11">
      <c r="A757" s="357" t="s">
        <v>47</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48</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3837</v>
      </c>
      <c r="B759" s="2605">
        <f>'Part VI-Pro Forma'!B52</f>
        <v>1468683.5308653133</v>
      </c>
      <c r="C759" s="2605">
        <f>'Part VI-Pro Forma'!C52</f>
        <v>1498057.2014826194</v>
      </c>
      <c r="D759" s="2605">
        <f>'Part VI-Pro Forma'!D52</f>
        <v>1528018.3455122721</v>
      </c>
      <c r="E759" s="2605">
        <f>'Part VI-Pro Forma'!E52</f>
        <v>1558578.7124225174</v>
      </c>
      <c r="F759" s="2605">
        <f>'Part VI-Pro Forma'!F52</f>
        <v>1589750.2866709677</v>
      </c>
      <c r="G759" s="2605">
        <f>'Part VI-Pro Forma'!G52</f>
        <v>1621545.2924043867</v>
      </c>
      <c r="H759" s="2605">
        <f>'Part VI-Pro Forma'!H52</f>
        <v>1653976.1982524747</v>
      </c>
      <c r="I759" s="2605">
        <f>'Part VI-Pro Forma'!I52</f>
        <v>1687055.7222175244</v>
      </c>
      <c r="J759" s="2605">
        <f>'Part VI-Pro Forma'!J52</f>
        <v>1720796.8366618748</v>
      </c>
      <c r="K759" s="2605">
        <f>'Part VI-Pro Forma'!K52</f>
        <v>1755212.7733951123</v>
      </c>
    </row>
    <row r="760" spans="1:11">
      <c r="A760" s="357" t="s">
        <v>572</v>
      </c>
      <c r="B760" s="2605">
        <f>'Part VI-Pro Forma'!B53</f>
        <v>-605635.91635142849</v>
      </c>
      <c r="C760" s="2605">
        <f>'Part VI-Pro Forma'!C53</f>
        <v>-623804.99384197139</v>
      </c>
      <c r="D760" s="2605">
        <f>'Part VI-Pro Forma'!D53</f>
        <v>-642519.14365723042</v>
      </c>
      <c r="E760" s="2605">
        <f>'Part VI-Pro Forma'!E53</f>
        <v>-661794.71796694724</v>
      </c>
      <c r="F760" s="2605">
        <f>'Part VI-Pro Forma'!F53</f>
        <v>-681648.55950595578</v>
      </c>
      <c r="G760" s="2605">
        <f>'Part VI-Pro Forma'!G53</f>
        <v>-702098.01629113453</v>
      </c>
      <c r="H760" s="2605">
        <f>'Part VI-Pro Forma'!H53</f>
        <v>-723160.95677986834</v>
      </c>
      <c r="I760" s="2605">
        <f>'Part VI-Pro Forma'!I53</f>
        <v>-744855.78548326448</v>
      </c>
      <c r="J760" s="2605">
        <f>'Part VI-Pro Forma'!J53</f>
        <v>-767201.45904776244</v>
      </c>
      <c r="K760" s="2605">
        <f>'Part VI-Pro Forma'!K53</f>
        <v>-790217.50281919527</v>
      </c>
    </row>
    <row r="761" spans="1:11">
      <c r="A761" s="357" t="s">
        <v>1050</v>
      </c>
      <c r="B761" s="2605">
        <f>'Part VI-Pro Forma'!B54</f>
        <v>-80960</v>
      </c>
      <c r="C761" s="2605">
        <f>'Part VI-Pro Forma'!C54</f>
        <v>-83389</v>
      </c>
      <c r="D761" s="2605">
        <f>'Part VI-Pro Forma'!D54</f>
        <v>-85891</v>
      </c>
      <c r="E761" s="2605">
        <f>'Part VI-Pro Forma'!E54</f>
        <v>-88467</v>
      </c>
      <c r="F761" s="2605">
        <f>'Part VI-Pro Forma'!F54</f>
        <v>-91121</v>
      </c>
      <c r="G761" s="2605">
        <f>'Part VI-Pro Forma'!G54</f>
        <v>-93855</v>
      </c>
      <c r="H761" s="2605">
        <f>'Part VI-Pro Forma'!H54</f>
        <v>-96671</v>
      </c>
      <c r="I761" s="2605">
        <f>'Part VI-Pro Forma'!I54</f>
        <v>-99571</v>
      </c>
      <c r="J761" s="2605">
        <f>'Part VI-Pro Forma'!J54</f>
        <v>-102558</v>
      </c>
      <c r="K761" s="2605">
        <f>'Part VI-Pro Forma'!K54</f>
        <v>-105635</v>
      </c>
    </row>
    <row r="762" spans="1:11">
      <c r="A762" s="357" t="s">
        <v>1128</v>
      </c>
      <c r="B762" s="2605">
        <f>'Part VI-Pro Forma'!B55</f>
        <v>-30238.118535242738</v>
      </c>
      <c r="C762" s="2605">
        <f>'Part VI-Pro Forma'!C55</f>
        <v>-31145.262091300025</v>
      </c>
      <c r="D762" s="2605">
        <f>'Part VI-Pro Forma'!D55</f>
        <v>-32079.619954039019</v>
      </c>
      <c r="E762" s="2605">
        <f>'Part VI-Pro Forma'!E55</f>
        <v>-33042.008552660191</v>
      </c>
      <c r="F762" s="2605">
        <f>'Part VI-Pro Forma'!F55</f>
        <v>-34033.268809239999</v>
      </c>
      <c r="G762" s="2605">
        <f>'Part VI-Pro Forma'!G55</f>
        <v>-35054.266873517197</v>
      </c>
      <c r="H762" s="2605">
        <f>'Part VI-Pro Forma'!H55</f>
        <v>-36105.894879722706</v>
      </c>
      <c r="I762" s="2605">
        <f>'Part VI-Pro Forma'!I55</f>
        <v>-37189.071726114387</v>
      </c>
      <c r="J762" s="2605">
        <f>'Part VI-Pro Forma'!J55</f>
        <v>-38304.743877897825</v>
      </c>
      <c r="K762" s="2605">
        <f>'Part VI-Pro Forma'!K55</f>
        <v>-39453.886194234758</v>
      </c>
    </row>
    <row r="763" spans="1:11">
      <c r="A763" s="357" t="s">
        <v>3836</v>
      </c>
      <c r="B763" s="2605">
        <f>IF(B753&lt;=+'Part V-Revenues &amp; Expenses'!$N$251,-'Part V-Revenues &amp; Expenses'!$K$251,0)</f>
        <v>0</v>
      </c>
      <c r="C763" s="2605">
        <f>IF(C753&lt;=+'Part V-Revenues &amp; Expenses'!$N$251,-'Part V-Revenues &amp; Expenses'!$K$251,0)</f>
        <v>0</v>
      </c>
      <c r="D763" s="2605">
        <f>IF(D753&lt;=+'Part V-Revenues &amp; Expenses'!$N$251,-'Part V-Revenues &amp; Expenses'!$K$251,0)</f>
        <v>0</v>
      </c>
      <c r="E763" s="2605">
        <f>IF(E753&lt;=+'Part V-Revenues &amp; Expenses'!$N$251,-'Part V-Revenues &amp; Expenses'!$K$251,0)</f>
        <v>0</v>
      </c>
      <c r="F763" s="2605">
        <f>IF(F753&lt;=+'Part V-Revenues &amp; Expenses'!$N$251,-'Part V-Revenues &amp; Expenses'!$K$251,0)</f>
        <v>0</v>
      </c>
      <c r="G763" s="2605">
        <f>IF(G753&lt;=+'Part V-Revenues &amp; Expenses'!$N$251,-'Part V-Revenues &amp; Expenses'!$K$251,0)</f>
        <v>0</v>
      </c>
      <c r="H763" s="2605">
        <f>IF(H753&lt;=+'Part V-Revenues &amp; Expenses'!$N$251,-'Part V-Revenues &amp; Expenses'!$K$251,0)</f>
        <v>0</v>
      </c>
      <c r="I763" s="2605">
        <f>IF(I753&lt;=+'Part V-Revenues &amp; Expenses'!$N$251,-'Part V-Revenues &amp; Expenses'!$K$251,0)</f>
        <v>0</v>
      </c>
      <c r="J763" s="2605">
        <f>IF(J753&lt;=+'Part V-Revenues &amp; Expenses'!$N$251,-'Part V-Revenues &amp; Expenses'!$K$251,0)</f>
        <v>0</v>
      </c>
      <c r="K763" s="2605">
        <f>IF(K753&lt;=+'Part V-Revenues &amp; Expenses'!$N$251,-'Part V-Revenues &amp; Expenses'!$K$251,0)</f>
        <v>0</v>
      </c>
    </row>
    <row r="764" spans="1:11">
      <c r="A764" s="357" t="s">
        <v>1129</v>
      </c>
      <c r="B764" s="2605">
        <f t="shared" ref="B764:K764" si="386">SUM(B759:B763)</f>
        <v>751849.49597864202</v>
      </c>
      <c r="C764" s="2605">
        <f t="shared" si="386"/>
        <v>759717.94554934802</v>
      </c>
      <c r="D764" s="2605">
        <f t="shared" si="386"/>
        <v>767528.58190100268</v>
      </c>
      <c r="E764" s="2605">
        <f t="shared" si="386"/>
        <v>775274.98590290989</v>
      </c>
      <c r="F764" s="2605">
        <f t="shared" si="386"/>
        <v>782947.45835577196</v>
      </c>
      <c r="G764" s="2605">
        <f t="shared" si="386"/>
        <v>790538.00923973497</v>
      </c>
      <c r="H764" s="2605">
        <f t="shared" si="386"/>
        <v>798038.34659288358</v>
      </c>
      <c r="I764" s="2605">
        <f t="shared" si="386"/>
        <v>805439.86500814557</v>
      </c>
      <c r="J764" s="2605">
        <f t="shared" si="386"/>
        <v>812732.63373621448</v>
      </c>
      <c r="K764" s="2605">
        <f t="shared" si="386"/>
        <v>819906.38438168226</v>
      </c>
    </row>
    <row r="765" spans="1:11">
      <c r="A765" s="357" t="str">
        <f>$A733</f>
        <v>Mortgage A</v>
      </c>
      <c r="B765" s="2605">
        <f>'Part VI-Pro Forma'!B58</f>
        <v>-512433.2280002333</v>
      </c>
      <c r="C765" s="2605">
        <f>'Part VI-Pro Forma'!C58</f>
        <v>-512433.2280002333</v>
      </c>
      <c r="D765" s="2605">
        <f>'Part VI-Pro Forma'!D58</f>
        <v>-512433.2280002333</v>
      </c>
      <c r="E765" s="2605">
        <f>'Part VI-Pro Forma'!E58</f>
        <v>-512433.2280002333</v>
      </c>
      <c r="F765" s="2605">
        <f>'Part VI-Pro Forma'!F58</f>
        <v>-512433.2280002333</v>
      </c>
      <c r="G765" s="2605">
        <f>'Part VI-Pro Forma'!G58</f>
        <v>-512433.2280002333</v>
      </c>
      <c r="H765" s="2605">
        <f>'Part VI-Pro Forma'!H58</f>
        <v>-512433.2280002333</v>
      </c>
      <c r="I765" s="2605">
        <f>'Part VI-Pro Forma'!I58</f>
        <v>-512433.2280002333</v>
      </c>
      <c r="J765" s="2605">
        <f>'Part VI-Pro Forma'!J58</f>
        <v>-512433.2280002333</v>
      </c>
      <c r="K765" s="2605">
        <f>'Part VI-Pro Forma'!K58</f>
        <v>-512433.2280002333</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0</v>
      </c>
      <c r="C768" s="2605">
        <f>'Part VI-Pro Forma'!C61</f>
        <v>0</v>
      </c>
      <c r="D768" s="2605">
        <f>'Part VI-Pro Forma'!D61</f>
        <v>0</v>
      </c>
      <c r="E768" s="2605">
        <f>'Part VI-Pro Forma'!E61</f>
        <v>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711</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1095</v>
      </c>
      <c r="B770" s="2605">
        <f>'Part VI-Pro Forma'!B63</f>
        <v>-5000</v>
      </c>
      <c r="C770" s="2605">
        <f>'Part VI-Pro Forma'!C63</f>
        <v>-5000</v>
      </c>
      <c r="D770" s="2605">
        <f>'Part VI-Pro Forma'!D63</f>
        <v>-5000</v>
      </c>
      <c r="E770" s="2605">
        <f>'Part VI-Pro Forma'!E63</f>
        <v>-5000</v>
      </c>
      <c r="F770" s="2605">
        <f>'Part VI-Pro Forma'!F63</f>
        <v>-5000</v>
      </c>
      <c r="G770" s="2605">
        <f>'Part VI-Pro Forma'!G63</f>
        <v>-5000</v>
      </c>
      <c r="H770" s="2605">
        <f>'Part VI-Pro Forma'!H63</f>
        <v>-5000</v>
      </c>
      <c r="I770" s="2605">
        <f>'Part VI-Pro Forma'!I63</f>
        <v>-5000</v>
      </c>
      <c r="J770" s="2605">
        <f>'Part VI-Pro Forma'!J63</f>
        <v>-5000</v>
      </c>
      <c r="K770" s="2605">
        <f>'Part VI-Pro Forma'!K63</f>
        <v>-5000</v>
      </c>
    </row>
    <row r="771" spans="1:11">
      <c r="A771" s="357" t="s">
        <v>3361</v>
      </c>
      <c r="B771" s="2605">
        <f>'Part VI-Pro Forma'!B64</f>
        <v>0</v>
      </c>
      <c r="C771" s="2605">
        <f>'Part VI-Pro Forma'!C64</f>
        <v>0</v>
      </c>
      <c r="D771" s="2605">
        <f>'Part VI-Pro Forma'!D64</f>
        <v>0</v>
      </c>
      <c r="E771" s="2605">
        <f>'Part VI-Pro Forma'!E64</f>
        <v>0</v>
      </c>
      <c r="F771" s="2605">
        <f>'Part VI-Pro Forma'!F64</f>
        <v>0</v>
      </c>
      <c r="G771" s="2605">
        <f>'Part VI-Pro Forma'!G64</f>
        <v>0</v>
      </c>
      <c r="H771" s="2605">
        <f>'Part VI-Pro Forma'!H64</f>
        <v>0</v>
      </c>
      <c r="I771" s="2605">
        <f>'Part VI-Pro Forma'!I64</f>
        <v>0</v>
      </c>
      <c r="J771" s="2605">
        <f>'Part VI-Pro Forma'!J64</f>
        <v>0</v>
      </c>
      <c r="K771" s="2605">
        <f>'Part VI-Pro Forma'!K64</f>
        <v>0</v>
      </c>
    </row>
    <row r="772" spans="1:11">
      <c r="A772" s="357" t="s">
        <v>1096</v>
      </c>
      <c r="B772" s="2605">
        <f t="shared" ref="B772:K772" si="387">SUM(B764:B771)</f>
        <v>234416.26797840872</v>
      </c>
      <c r="C772" s="2605">
        <f t="shared" si="387"/>
        <v>242284.71754911472</v>
      </c>
      <c r="D772" s="2605">
        <f t="shared" si="387"/>
        <v>250095.35390076938</v>
      </c>
      <c r="E772" s="2605">
        <f t="shared" si="387"/>
        <v>257841.75790267659</v>
      </c>
      <c r="F772" s="2605">
        <f t="shared" si="387"/>
        <v>265514.23035553866</v>
      </c>
      <c r="G772" s="2605">
        <f t="shared" si="387"/>
        <v>273104.78123950167</v>
      </c>
      <c r="H772" s="2605">
        <f t="shared" si="387"/>
        <v>280605.11859265028</v>
      </c>
      <c r="I772" s="2605">
        <f t="shared" si="387"/>
        <v>288006.63700791227</v>
      </c>
      <c r="J772" s="2605">
        <f t="shared" si="387"/>
        <v>295299.40573598118</v>
      </c>
      <c r="K772" s="2605">
        <f t="shared" si="387"/>
        <v>302473.15638144896</v>
      </c>
    </row>
    <row r="773" spans="1:11">
      <c r="A773" s="357" t="str">
        <f>$A741</f>
        <v>DCR Mortgage A</v>
      </c>
      <c r="B773" s="2606">
        <f t="shared" ref="B773:K773" si="388">IF(B765=0,"",-B764/B765)</f>
        <v>1.4672145655205242</v>
      </c>
      <c r="C773" s="2606">
        <f t="shared" si="388"/>
        <v>1.482569638417363</v>
      </c>
      <c r="D773" s="2606">
        <f t="shared" si="388"/>
        <v>1.4978118903340383</v>
      </c>
      <c r="E773" s="2606">
        <f t="shared" si="388"/>
        <v>1.512928794505412</v>
      </c>
      <c r="F773" s="2606">
        <f t="shared" si="388"/>
        <v>1.5279014231985275</v>
      </c>
      <c r="G773" s="2606">
        <f t="shared" si="388"/>
        <v>1.5427141840992697</v>
      </c>
      <c r="H773" s="2606">
        <f t="shared" si="388"/>
        <v>1.557350895661513</v>
      </c>
      <c r="I773" s="2606">
        <f t="shared" si="388"/>
        <v>1.571794764659131</v>
      </c>
      <c r="J773" s="2606">
        <f t="shared" si="388"/>
        <v>1.5860264114954006</v>
      </c>
      <c r="K773" s="2606">
        <f t="shared" si="388"/>
        <v>1.6000257976660892</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t="str">
        <f t="shared" ref="B776:K776" si="391">IF(B768=0,"",-(B764+B765+B766+B767)/B768)</f>
        <v/>
      </c>
      <c r="C776" s="2606" t="str">
        <f t="shared" si="391"/>
        <v/>
      </c>
      <c r="D776" s="2606" t="str">
        <f t="shared" si="391"/>
        <v/>
      </c>
      <c r="E776" s="2606" t="str">
        <f t="shared" si="391"/>
        <v/>
      </c>
      <c r="F776" s="2606" t="str">
        <f t="shared" si="391"/>
        <v/>
      </c>
      <c r="G776" s="2606" t="str">
        <f t="shared" si="391"/>
        <v/>
      </c>
      <c r="H776" s="2606" t="str">
        <f t="shared" si="391"/>
        <v/>
      </c>
      <c r="I776" s="2606" t="str">
        <f t="shared" si="391"/>
        <v/>
      </c>
      <c r="J776" s="2606" t="str">
        <f t="shared" si="391"/>
        <v/>
      </c>
      <c r="K776" s="2606" t="str">
        <f t="shared" si="391"/>
        <v/>
      </c>
    </row>
    <row r="777" spans="1:11">
      <c r="A777" s="357" t="s">
        <v>3213</v>
      </c>
      <c r="B777" s="2606">
        <f t="shared" ref="B777:K777" si="392">IF(AND(B765=0,B766=0,B767=0,B768=0),"",-B764/(B765+B766+B767+B768))</f>
        <v>1.4672145655205242</v>
      </c>
      <c r="C777" s="2606">
        <f t="shared" si="392"/>
        <v>1.482569638417363</v>
      </c>
      <c r="D777" s="2606">
        <f t="shared" si="392"/>
        <v>1.4978118903340383</v>
      </c>
      <c r="E777" s="2606">
        <f t="shared" si="392"/>
        <v>1.512928794505412</v>
      </c>
      <c r="F777" s="2606">
        <f t="shared" si="392"/>
        <v>1.5279014231985275</v>
      </c>
      <c r="G777" s="2606">
        <f t="shared" si="392"/>
        <v>1.5427141840992697</v>
      </c>
      <c r="H777" s="2606">
        <f t="shared" si="392"/>
        <v>1.557350895661513</v>
      </c>
      <c r="I777" s="2606">
        <f t="shared" si="392"/>
        <v>1.571794764659131</v>
      </c>
      <c r="J777" s="2606">
        <f t="shared" si="392"/>
        <v>1.5860264114954006</v>
      </c>
      <c r="K777" s="2606">
        <f t="shared" si="392"/>
        <v>1.6000257976660892</v>
      </c>
    </row>
    <row r="778" spans="1:11">
      <c r="A778" s="357" t="s">
        <v>718</v>
      </c>
      <c r="B778" s="2607">
        <f t="shared" ref="B778:K778" si="393">IF(OR(B761="Choose mgt fee",B761="Choose One!"),"",(B754+B755+B756+B757+B758) / -(B760+B761+B762))</f>
        <v>2.0488473752470564</v>
      </c>
      <c r="C778" s="2607">
        <f t="shared" si="393"/>
        <v>2.0289551035574473</v>
      </c>
      <c r="D778" s="2607">
        <f t="shared" si="393"/>
        <v>2.0092556384405604</v>
      </c>
      <c r="E778" s="2607">
        <f t="shared" si="393"/>
        <v>1.989750156491185</v>
      </c>
      <c r="F778" s="2607">
        <f t="shared" si="393"/>
        <v>1.9704322182295273</v>
      </c>
      <c r="G778" s="2607">
        <f t="shared" si="393"/>
        <v>1.9513009395407448</v>
      </c>
      <c r="H778" s="2607">
        <f t="shared" si="393"/>
        <v>1.9323554800685059</v>
      </c>
      <c r="I778" s="2607">
        <f t="shared" si="393"/>
        <v>1.9135950294243154</v>
      </c>
      <c r="J778" s="2607">
        <f t="shared" si="393"/>
        <v>1.8950167081993758</v>
      </c>
      <c r="K778" s="2607">
        <f t="shared" si="393"/>
        <v>1.8766179660619311</v>
      </c>
    </row>
    <row r="779" spans="1:11">
      <c r="A779" s="357" t="s">
        <v>2405</v>
      </c>
      <c r="B779" s="2605">
        <f>'Part VI-Pro Forma'!B72</f>
        <v>6362367.347211929</v>
      </c>
      <c r="C779" s="2605">
        <f>'Part VI-Pro Forma'!C72</f>
        <v>6244236.1987437597</v>
      </c>
      <c r="D779" s="2605">
        <f>'Part VI-Pro Forma'!D72</f>
        <v>6118506.6404445851</v>
      </c>
      <c r="E779" s="2605">
        <f>'Part VI-Pro Forma'!E72</f>
        <v>5984689.9288059529</v>
      </c>
      <c r="F779" s="2605">
        <f>'Part VI-Pro Forma'!F72</f>
        <v>5842265.8834500695</v>
      </c>
      <c r="G779" s="2605">
        <f>'Part VI-Pro Forma'!G72</f>
        <v>5690680.8650533194</v>
      </c>
      <c r="H779" s="2605">
        <f>'Part VI-Pro Forma'!H72</f>
        <v>5529345.6232061535</v>
      </c>
      <c r="I779" s="2605">
        <f>'Part VI-Pro Forma'!I72</f>
        <v>5357633.0058434233</v>
      </c>
      <c r="J779" s="2605">
        <f>'Part VI-Pro Forma'!J72</f>
        <v>5174875.5213411162</v>
      </c>
      <c r="K779" s="2605">
        <f>'Part VI-Pro Forma'!K72</f>
        <v>4980362.7438027291</v>
      </c>
    </row>
    <row r="780" spans="1:11">
      <c r="A780" s="357" t="s">
        <v>2406</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2407</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730</v>
      </c>
      <c r="B782" s="2605" t="str">
        <f>'Part VI-Pro Forma'!B75</f>
        <v/>
      </c>
      <c r="C782" s="2605" t="str">
        <f>'Part VI-Pro Forma'!C75</f>
        <v/>
      </c>
      <c r="D782" s="2605" t="str">
        <f>'Part VI-Pro Forma'!D75</f>
        <v/>
      </c>
      <c r="E782" s="2605" t="str">
        <f>'Part VI-Pro Forma'!E75</f>
        <v/>
      </c>
      <c r="F782" s="2605" t="str">
        <f>'Part VI-Pro Forma'!F75</f>
        <v/>
      </c>
      <c r="G782" s="2605" t="str">
        <f>'Part VI-Pro Forma'!G75</f>
        <v/>
      </c>
      <c r="H782" s="2605" t="str">
        <f>'Part VI-Pro Forma'!H75</f>
        <v/>
      </c>
      <c r="I782" s="2605" t="str">
        <f>'Part VI-Pro Forma'!I75</f>
        <v/>
      </c>
      <c r="J782" s="2605" t="str">
        <f>'Part VI-Pro Forma'!J75</f>
        <v/>
      </c>
      <c r="K782" s="2605" t="str">
        <f>'Part VI-Pro Forma'!K75</f>
        <v/>
      </c>
    </row>
    <row r="783" spans="1:11">
      <c r="A783" s="357" t="s">
        <v>3362</v>
      </c>
      <c r="B783" s="2605">
        <f>'Part VI-Pro Forma'!B76</f>
        <v>0</v>
      </c>
      <c r="C783" s="2605">
        <f>'Part VI-Pro Forma'!C76</f>
        <v>0</v>
      </c>
      <c r="D783" s="2605">
        <f>'Part VI-Pro Forma'!D76</f>
        <v>0</v>
      </c>
      <c r="E783" s="2605">
        <f>'Part VI-Pro Forma'!E76</f>
        <v>0</v>
      </c>
      <c r="F783" s="2605">
        <f>'Part VI-Pro Forma'!F76</f>
        <v>0</v>
      </c>
      <c r="G783" s="2605">
        <f>'Part VI-Pro Forma'!G76</f>
        <v>0</v>
      </c>
      <c r="H783" s="2605" t="str">
        <f>'Part VI-Pro Forma'!H76</f>
        <v/>
      </c>
      <c r="I783" s="2605" t="str">
        <f>'Part VI-Pro Forma'!I76</f>
        <v/>
      </c>
      <c r="J783" s="2605" t="str">
        <f>'Part VI-Pro Forma'!J76</f>
        <v/>
      </c>
      <c r="K783" s="2605" t="str">
        <f>'Part VI-Pro Forma'!K76</f>
        <v/>
      </c>
    </row>
    <row r="784" spans="1:11">
      <c r="B784" s="2605"/>
      <c r="C784" s="2605"/>
      <c r="D784" s="2605"/>
      <c r="E784" s="2605"/>
      <c r="F784" s="2605"/>
      <c r="G784" s="2605"/>
      <c r="H784" s="2605"/>
      <c r="I784" s="2605"/>
      <c r="J784" s="2605"/>
      <c r="K784" s="2605"/>
    </row>
    <row r="785" spans="1:11">
      <c r="A785" s="361" t="s">
        <v>2284</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2215</v>
      </c>
      <c r="B786" s="2605">
        <f>'Part VI-Pro Forma'!B79</f>
        <v>1887325.5627904434</v>
      </c>
      <c r="C786" s="2605">
        <f>'Part VI-Pro Forma'!C79</f>
        <v>1925072.0740462521</v>
      </c>
      <c r="D786" s="2605">
        <f>'Part VI-Pro Forma'!D79</f>
        <v>1963573.5155271771</v>
      </c>
      <c r="E786" s="2605">
        <f>'Part VI-Pro Forma'!E79</f>
        <v>2002844.9858377203</v>
      </c>
      <c r="F786" s="2605">
        <f>'Part VI-Pro Forma'!F79</f>
        <v>2042901.885554475</v>
      </c>
      <c r="G786" s="2605">
        <f>'Part VI-Pro Forma'!G79</f>
        <v>2083759.9232655645</v>
      </c>
      <c r="H786" s="2605">
        <f>'Part VI-Pro Forma'!H79</f>
        <v>2125435.1217308762</v>
      </c>
      <c r="I786" s="2605">
        <f>'Part VI-Pro Forma'!I79</f>
        <v>2167943.8241654932</v>
      </c>
      <c r="J786" s="2605">
        <f>'Part VI-Pro Forma'!J79</f>
        <v>2211302.7006488033</v>
      </c>
      <c r="K786" s="2605">
        <f>'Part VI-Pro Forma'!K79</f>
        <v>2255528.7546617789</v>
      </c>
    </row>
    <row r="787" spans="1:11">
      <c r="A787" s="357" t="s">
        <v>952</v>
      </c>
      <c r="B787" s="2605">
        <f>'Part VI-Pro Forma'!B80</f>
        <v>37746.511255808866</v>
      </c>
      <c r="C787" s="2605">
        <f>'Part VI-Pro Forma'!C80</f>
        <v>38501.441480925045</v>
      </c>
      <c r="D787" s="2605">
        <f>'Part VI-Pro Forma'!D80</f>
        <v>39271.470310543547</v>
      </c>
      <c r="E787" s="2605">
        <f>'Part VI-Pro Forma'!E80</f>
        <v>40056.899716754408</v>
      </c>
      <c r="F787" s="2605">
        <f>'Part VI-Pro Forma'!F80</f>
        <v>40858.037711089499</v>
      </c>
      <c r="G787" s="2605">
        <f>'Part VI-Pro Forma'!G80</f>
        <v>41675.198465311289</v>
      </c>
      <c r="H787" s="2605">
        <f>'Part VI-Pro Forma'!H80</f>
        <v>42508.702434617517</v>
      </c>
      <c r="I787" s="2605">
        <f>'Part VI-Pro Forma'!I80</f>
        <v>43358.876483309861</v>
      </c>
      <c r="J787" s="2605">
        <f>'Part VI-Pro Forma'!J80</f>
        <v>44226.05401297607</v>
      </c>
      <c r="K787" s="2605">
        <f>'Part VI-Pro Forma'!K80</f>
        <v>45110.57509323558</v>
      </c>
    </row>
    <row r="788" spans="1:11">
      <c r="A788" s="357" t="s">
        <v>2216</v>
      </c>
      <c r="B788" s="2605">
        <f>'Part VI-Pro Forma'!B81</f>
        <v>-134755.04518323767</v>
      </c>
      <c r="C788" s="2605">
        <f>'Part VI-Pro Forma'!C81</f>
        <v>-137450.14608690242</v>
      </c>
      <c r="D788" s="2605">
        <f>'Part VI-Pro Forma'!D81</f>
        <v>-140199.14900864047</v>
      </c>
      <c r="E788" s="2605">
        <f>'Part VI-Pro Forma'!E81</f>
        <v>-143003.13198881326</v>
      </c>
      <c r="F788" s="2605">
        <f>'Part VI-Pro Forma'!F81</f>
        <v>-145863.19462858952</v>
      </c>
      <c r="G788" s="2605">
        <f>'Part VI-Pro Forma'!G81</f>
        <v>-148780.45852116132</v>
      </c>
      <c r="H788" s="2605">
        <f>'Part VI-Pro Forma'!H81</f>
        <v>-151756.06769158458</v>
      </c>
      <c r="I788" s="2605">
        <f>'Part VI-Pro Forma'!I81</f>
        <v>-154791.18904541625</v>
      </c>
      <c r="J788" s="2605">
        <f>'Part VI-Pro Forma'!J81</f>
        <v>-157887.01282632459</v>
      </c>
      <c r="K788" s="2605">
        <f>'Part VI-Pro Forma'!K81</f>
        <v>-161044.75308285101</v>
      </c>
    </row>
    <row r="789" spans="1:11">
      <c r="A789" s="357" t="s">
        <v>47</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48</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3837</v>
      </c>
      <c r="B791" s="2605">
        <f>'Part VI-Pro Forma'!B84</f>
        <v>1790317.0288630147</v>
      </c>
      <c r="C791" s="2605">
        <f>'Part VI-Pro Forma'!C84</f>
        <v>1826123.3694402748</v>
      </c>
      <c r="D791" s="2605">
        <f>'Part VI-Pro Forma'!D84</f>
        <v>1862645.8368290802</v>
      </c>
      <c r="E791" s="2605">
        <f>'Part VI-Pro Forma'!E84</f>
        <v>1899898.7535656616</v>
      </c>
      <c r="F791" s="2605">
        <f>'Part VI-Pro Forma'!F84</f>
        <v>1937896.7286369749</v>
      </c>
      <c r="G791" s="2605">
        <f>'Part VI-Pro Forma'!G84</f>
        <v>1976654.6632097145</v>
      </c>
      <c r="H791" s="2605">
        <f>'Part VI-Pro Forma'!H84</f>
        <v>2016187.7564739091</v>
      </c>
      <c r="I791" s="2605">
        <f>'Part VI-Pro Forma'!I84</f>
        <v>2056511.5116033871</v>
      </c>
      <c r="J791" s="2605">
        <f>'Part VI-Pro Forma'!J84</f>
        <v>2097641.7418354549</v>
      </c>
      <c r="K791" s="2605">
        <f>'Part VI-Pro Forma'!K84</f>
        <v>2139594.5766721633</v>
      </c>
    </row>
    <row r="792" spans="1:11">
      <c r="A792" s="357" t="s">
        <v>572</v>
      </c>
      <c r="B792" s="2605">
        <f>'Part VI-Pro Forma'!B85</f>
        <v>-813924.02790377103</v>
      </c>
      <c r="C792" s="2605">
        <f>'Part VI-Pro Forma'!C85</f>
        <v>-838341.74874088413</v>
      </c>
      <c r="D792" s="2605">
        <f>'Part VI-Pro Forma'!D85</f>
        <v>-863492.00120311067</v>
      </c>
      <c r="E792" s="2605">
        <f>'Part VI-Pro Forma'!E85</f>
        <v>-889396.76123920409</v>
      </c>
      <c r="F792" s="2605">
        <f>'Part VI-Pro Forma'!F85</f>
        <v>-916078.66407638008</v>
      </c>
      <c r="G792" s="2605">
        <f>'Part VI-Pro Forma'!G85</f>
        <v>-943561.02399867144</v>
      </c>
      <c r="H792" s="2605">
        <f>'Part VI-Pro Forma'!H85</f>
        <v>-971867.85471863172</v>
      </c>
      <c r="I792" s="2605">
        <f>'Part VI-Pro Forma'!I85</f>
        <v>-1001023.8903601905</v>
      </c>
      <c r="J792" s="2605">
        <f>'Part VI-Pro Forma'!J85</f>
        <v>-1031054.6070709963</v>
      </c>
      <c r="K792" s="2605">
        <f>'Part VI-Pro Forma'!K85</f>
        <v>-1061986.2452831261</v>
      </c>
    </row>
    <row r="793" spans="1:11">
      <c r="A793" s="357" t="s">
        <v>1050</v>
      </c>
      <c r="B793" s="2605">
        <f>'Part VI-Pro Forma'!B86</f>
        <v>-108804</v>
      </c>
      <c r="C793" s="2605">
        <f>'Part VI-Pro Forma'!C86</f>
        <v>-112068</v>
      </c>
      <c r="D793" s="2605">
        <f>'Part VI-Pro Forma'!D86</f>
        <v>-115430</v>
      </c>
      <c r="E793" s="2605">
        <f>'Part VI-Pro Forma'!E86</f>
        <v>-118893</v>
      </c>
      <c r="F793" s="2605">
        <f>'Part VI-Pro Forma'!F86</f>
        <v>-122460</v>
      </c>
      <c r="G793" s="2605">
        <f>'Part VI-Pro Forma'!G86</f>
        <v>-126133</v>
      </c>
      <c r="H793" s="2605">
        <f>'Part VI-Pro Forma'!H86</f>
        <v>-129917</v>
      </c>
      <c r="I793" s="2605">
        <f>'Part VI-Pro Forma'!I86</f>
        <v>-133815</v>
      </c>
      <c r="J793" s="2605">
        <f>'Part VI-Pro Forma'!J86</f>
        <v>-137829</v>
      </c>
      <c r="K793" s="2605">
        <f>'Part VI-Pro Forma'!K86</f>
        <v>-141964</v>
      </c>
    </row>
    <row r="794" spans="1:11">
      <c r="A794" s="357" t="s">
        <v>1128</v>
      </c>
      <c r="B794" s="2605">
        <f>'Part VI-Pro Forma'!B87</f>
        <v>-40637.502780061797</v>
      </c>
      <c r="C794" s="2605">
        <f>'Part VI-Pro Forma'!C87</f>
        <v>-41856.627863463647</v>
      </c>
      <c r="D794" s="2605">
        <f>'Part VI-Pro Forma'!D87</f>
        <v>-43112.326699367557</v>
      </c>
      <c r="E794" s="2605">
        <f>'Part VI-Pro Forma'!E87</f>
        <v>-44405.696500348589</v>
      </c>
      <c r="F794" s="2605">
        <f>'Part VI-Pro Forma'!F87</f>
        <v>-45737.867395359041</v>
      </c>
      <c r="G794" s="2605">
        <f>'Part VI-Pro Forma'!G87</f>
        <v>-47110.003417219814</v>
      </c>
      <c r="H794" s="2605">
        <f>'Part VI-Pro Forma'!H87</f>
        <v>-48523.303519736415</v>
      </c>
      <c r="I794" s="2605">
        <f>'Part VI-Pro Forma'!I87</f>
        <v>-49979.002625328496</v>
      </c>
      <c r="J794" s="2605">
        <f>'Part VI-Pro Forma'!J87</f>
        <v>-51478.372704088353</v>
      </c>
      <c r="K794" s="2605">
        <f>'Part VI-Pro Forma'!K87</f>
        <v>-53022.723885211002</v>
      </c>
    </row>
    <row r="795" spans="1:11">
      <c r="A795" s="357" t="s">
        <v>3836</v>
      </c>
      <c r="B795" s="2605">
        <f>IF(B785&lt;=+'Part V-Revenues &amp; Expenses'!$N$251,-'Part V-Revenues &amp; Expenses'!$K$251,0)</f>
        <v>0</v>
      </c>
      <c r="C795" s="2605">
        <f>IF(C785&lt;=+'Part V-Revenues &amp; Expenses'!$N$251,-'Part V-Revenues &amp; Expenses'!$K$251,0)</f>
        <v>0</v>
      </c>
      <c r="D795" s="2605">
        <f>IF(D785&lt;=+'Part V-Revenues &amp; Expenses'!$N$251,-'Part V-Revenues &amp; Expenses'!$K$251,0)</f>
        <v>0</v>
      </c>
      <c r="E795" s="2605">
        <f>IF(E785&lt;=+'Part V-Revenues &amp; Expenses'!$N$251,-'Part V-Revenues &amp; Expenses'!$K$251,0)</f>
        <v>0</v>
      </c>
      <c r="F795" s="2605">
        <f>IF(F785&lt;=+'Part V-Revenues &amp; Expenses'!$N$251,-'Part V-Revenues &amp; Expenses'!$K$251,0)</f>
        <v>0</v>
      </c>
      <c r="G795" s="2605">
        <f>IF(G785&lt;=+'Part V-Revenues &amp; Expenses'!$N$251,-'Part V-Revenues &amp; Expenses'!$K$251,0)</f>
        <v>0</v>
      </c>
      <c r="H795" s="2605">
        <f>IF(H785&lt;=+'Part V-Revenues &amp; Expenses'!$N$251,-'Part V-Revenues &amp; Expenses'!$K$251,0)</f>
        <v>0</v>
      </c>
      <c r="I795" s="2605">
        <f>IF(I785&lt;=+'Part V-Revenues &amp; Expenses'!$N$251,-'Part V-Revenues &amp; Expenses'!$K$251,0)</f>
        <v>0</v>
      </c>
      <c r="J795" s="2605">
        <f>IF(J785&lt;=+'Part V-Revenues &amp; Expenses'!$N$251,-'Part V-Revenues &amp; Expenses'!$K$251,0)</f>
        <v>0</v>
      </c>
      <c r="K795" s="2605">
        <f>IF(K785&lt;=+'Part V-Revenues &amp; Expenses'!$N$251,-'Part V-Revenues &amp; Expenses'!$K$251,0)</f>
        <v>0</v>
      </c>
    </row>
    <row r="796" spans="1:11">
      <c r="A796" s="357" t="s">
        <v>1129</v>
      </c>
      <c r="B796" s="2605">
        <f t="shared" ref="B796:K796" si="395">SUM(B791:B795)</f>
        <v>826951.49817918183</v>
      </c>
      <c r="C796" s="2605">
        <f t="shared" si="395"/>
        <v>833856.99283592706</v>
      </c>
      <c r="D796" s="2605">
        <f t="shared" si="395"/>
        <v>840611.50892660196</v>
      </c>
      <c r="E796" s="2605">
        <f t="shared" si="395"/>
        <v>847203.29582610889</v>
      </c>
      <c r="F796" s="2605">
        <f t="shared" si="395"/>
        <v>853620.19716523576</v>
      </c>
      <c r="G796" s="2605">
        <f t="shared" si="395"/>
        <v>859850.63579382317</v>
      </c>
      <c r="H796" s="2605">
        <f t="shared" si="395"/>
        <v>865879.59823554102</v>
      </c>
      <c r="I796" s="2605">
        <f t="shared" si="395"/>
        <v>871693.61861786805</v>
      </c>
      <c r="J796" s="2605">
        <f t="shared" si="395"/>
        <v>877279.76206037018</v>
      </c>
      <c r="K796" s="2605">
        <f t="shared" si="395"/>
        <v>882621.60750382615</v>
      </c>
    </row>
    <row r="797" spans="1:11">
      <c r="A797" s="357" t="str">
        <f>$A765</f>
        <v>Mortgage A</v>
      </c>
      <c r="B797" s="2605">
        <f>'Part VI-Pro Forma'!B90</f>
        <v>-512433.2280002333</v>
      </c>
      <c r="C797" s="2605">
        <f>'Part VI-Pro Forma'!C90</f>
        <v>-512433.2280002333</v>
      </c>
      <c r="D797" s="2605">
        <f>'Part VI-Pro Forma'!D90</f>
        <v>-512433.2280002333</v>
      </c>
      <c r="E797" s="2605">
        <f>'Part VI-Pro Forma'!E90</f>
        <v>-512433.2280002333</v>
      </c>
      <c r="F797" s="2605">
        <f>'Part VI-Pro Forma'!F90</f>
        <v>-512433.2280002333</v>
      </c>
      <c r="G797" s="2605">
        <f>'Part VI-Pro Forma'!G90</f>
        <v>-512433.2280002333</v>
      </c>
      <c r="H797" s="2605">
        <f>'Part VI-Pro Forma'!H90</f>
        <v>-512433.2280002333</v>
      </c>
      <c r="I797" s="2605">
        <f>'Part VI-Pro Forma'!I90</f>
        <v>-512433.2280002333</v>
      </c>
      <c r="J797" s="2605">
        <f>'Part VI-Pro Forma'!J90</f>
        <v>-512433.2280002333</v>
      </c>
      <c r="K797" s="2605">
        <f>'Part VI-Pro Forma'!K90</f>
        <v>-512433.2280002333</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711</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1095</v>
      </c>
      <c r="B802" s="2605">
        <f>'Part VI-Pro Forma'!B95</f>
        <v>-5000</v>
      </c>
      <c r="C802" s="2605">
        <f>'Part VI-Pro Forma'!C95</f>
        <v>-5000</v>
      </c>
      <c r="D802" s="2605">
        <f>'Part VI-Pro Forma'!D95</f>
        <v>-5000</v>
      </c>
      <c r="E802" s="2605">
        <f>'Part VI-Pro Forma'!E95</f>
        <v>-5000</v>
      </c>
      <c r="F802" s="2605">
        <f>'Part VI-Pro Forma'!F95</f>
        <v>-5000</v>
      </c>
      <c r="G802" s="2605">
        <f>'Part VI-Pro Forma'!G95</f>
        <v>-5000</v>
      </c>
      <c r="H802" s="2605">
        <f>'Part VI-Pro Forma'!H95</f>
        <v>-5000</v>
      </c>
      <c r="I802" s="2605">
        <f>'Part VI-Pro Forma'!I95</f>
        <v>-5000</v>
      </c>
      <c r="J802" s="2605">
        <f>'Part VI-Pro Forma'!J95</f>
        <v>-5000</v>
      </c>
      <c r="K802" s="2605">
        <f>'Part VI-Pro Forma'!K95</f>
        <v>-5000</v>
      </c>
    </row>
    <row r="803" spans="1:11">
      <c r="A803" s="357" t="s">
        <v>1096</v>
      </c>
      <c r="B803" s="2605">
        <f t="shared" ref="B803:K803" si="396">SUM(B796:B802)</f>
        <v>309518.27017894853</v>
      </c>
      <c r="C803" s="2605">
        <f t="shared" si="396"/>
        <v>316423.76483569376</v>
      </c>
      <c r="D803" s="2605">
        <f t="shared" si="396"/>
        <v>323178.28092636866</v>
      </c>
      <c r="E803" s="2605">
        <f t="shared" si="396"/>
        <v>329770.06782587559</v>
      </c>
      <c r="F803" s="2605">
        <f t="shared" si="396"/>
        <v>336186.96916500246</v>
      </c>
      <c r="G803" s="2605">
        <f t="shared" si="396"/>
        <v>342417.40779358987</v>
      </c>
      <c r="H803" s="2605">
        <f t="shared" si="396"/>
        <v>348446.37023530772</v>
      </c>
      <c r="I803" s="2605">
        <f t="shared" si="396"/>
        <v>354260.39061763475</v>
      </c>
      <c r="J803" s="2605">
        <f t="shared" si="396"/>
        <v>359846.53406013688</v>
      </c>
      <c r="K803" s="2605">
        <f t="shared" si="396"/>
        <v>365188.37950359285</v>
      </c>
    </row>
    <row r="804" spans="1:11">
      <c r="A804" s="357" t="str">
        <f>$A773</f>
        <v>DCR Mortgage A</v>
      </c>
      <c r="B804" s="2606">
        <f t="shared" ref="B804:K804" si="397">IF(B797=0,"",-B796/B797)</f>
        <v>1.6137741524029456</v>
      </c>
      <c r="C804" s="2606">
        <f t="shared" si="397"/>
        <v>1.6272500440497342</v>
      </c>
      <c r="D804" s="2606">
        <f t="shared" si="397"/>
        <v>1.640431304985982</v>
      </c>
      <c r="E804" s="2606">
        <f t="shared" si="397"/>
        <v>1.6532950041751062</v>
      </c>
      <c r="F804" s="2606">
        <f t="shared" si="397"/>
        <v>1.6658174187815298</v>
      </c>
      <c r="G804" s="2606">
        <f t="shared" si="397"/>
        <v>1.6779759563004601</v>
      </c>
      <c r="H804" s="2606">
        <f t="shared" si="397"/>
        <v>1.6897413183267398</v>
      </c>
      <c r="I804" s="2606">
        <f t="shared" si="397"/>
        <v>1.7010872265634405</v>
      </c>
      <c r="J804" s="2606">
        <f t="shared" si="397"/>
        <v>1.7119884389307611</v>
      </c>
      <c r="K804" s="2606">
        <f t="shared" si="397"/>
        <v>1.7224129101624619</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3213</v>
      </c>
      <c r="B808" s="2606">
        <f t="shared" ref="B808:K808" si="401">IF(AND(B797=0,B798=0,B799=0,B800=0),"",-B796/(B797+B798+B799+B800))</f>
        <v>1.6137741524029456</v>
      </c>
      <c r="C808" s="2606">
        <f t="shared" si="401"/>
        <v>1.6272500440497342</v>
      </c>
      <c r="D808" s="2606">
        <f t="shared" si="401"/>
        <v>1.640431304985982</v>
      </c>
      <c r="E808" s="2606">
        <f t="shared" si="401"/>
        <v>1.6532950041751062</v>
      </c>
      <c r="F808" s="2606">
        <f t="shared" si="401"/>
        <v>1.6658174187815298</v>
      </c>
      <c r="G808" s="2606">
        <f t="shared" si="401"/>
        <v>1.6779759563004601</v>
      </c>
      <c r="H808" s="2606">
        <f t="shared" si="401"/>
        <v>1.6897413183267398</v>
      </c>
      <c r="I808" s="2606">
        <f t="shared" si="401"/>
        <v>1.7010872265634405</v>
      </c>
      <c r="J808" s="2606">
        <f t="shared" si="401"/>
        <v>1.7119884389307611</v>
      </c>
      <c r="K808" s="2606">
        <f t="shared" si="401"/>
        <v>1.7224129101624619</v>
      </c>
    </row>
    <row r="809" spans="1:11">
      <c r="A809" s="357" t="s">
        <v>718</v>
      </c>
      <c r="B809" s="2607">
        <f>IF(OR(B793="Choose mgt fee",B793="Choose One!"),"",(B786+B787+B788+B789+B790) / -(B792+B793+B794))</f>
        <v>1.8583984706118568</v>
      </c>
      <c r="C809" s="2607">
        <f t="shared" ref="C809:K809" si="402">IF(OR(C793="Choose mgt fee",C793="Choose One!"),"",(C786+C787+C788+C789+C790) / -(C792+C793+C794))</f>
        <v>1.8403559895776009</v>
      </c>
      <c r="D809" s="2607">
        <f t="shared" si="402"/>
        <v>1.8224885270260829</v>
      </c>
      <c r="E809" s="2607">
        <f t="shared" si="402"/>
        <v>1.8047942922118274</v>
      </c>
      <c r="F809" s="2607">
        <f t="shared" si="402"/>
        <v>1.7872716713757306</v>
      </c>
      <c r="G809" s="2607">
        <f t="shared" si="402"/>
        <v>1.769920787072538</v>
      </c>
      <c r="H809" s="2607">
        <f t="shared" si="402"/>
        <v>1.7527370748735596</v>
      </c>
      <c r="I809" s="2607">
        <f t="shared" si="402"/>
        <v>1.7357194922346788</v>
      </c>
      <c r="J809" s="2607">
        <f t="shared" si="402"/>
        <v>1.7188684804995764</v>
      </c>
      <c r="K809" s="2607">
        <f t="shared" si="402"/>
        <v>1.7021802609548586</v>
      </c>
    </row>
    <row r="810" spans="1:11">
      <c r="A810" s="357" t="s">
        <v>2405</v>
      </c>
      <c r="B810" s="2605">
        <f>'Part VI-Pro Forma'!B103</f>
        <v>4773338.5514489524</v>
      </c>
      <c r="C810" s="2605">
        <f>'Part VI-Pro Forma'!C103</f>
        <v>4552998.1873755669</v>
      </c>
      <c r="D810" s="2605">
        <f>'Part VI-Pro Forma'!D103</f>
        <v>4318485.1312539577</v>
      </c>
      <c r="E810" s="2605">
        <f>'Part VI-Pro Forma'!E103</f>
        <v>4068887.7698137257</v>
      </c>
      <c r="F810" s="2605">
        <f>'Part VI-Pro Forma'!F103</f>
        <v>3803235.8531647008</v>
      </c>
      <c r="G810" s="2605">
        <f>'Part VI-Pro Forma'!G103</f>
        <v>3520496.723183156</v>
      </c>
      <c r="H810" s="2605">
        <f>'Part VI-Pro Forma'!H103</f>
        <v>3219571.299300978</v>
      </c>
      <c r="I810" s="2605">
        <f>'Part VI-Pro Forma'!I103</f>
        <v>2899289.806093513</v>
      </c>
      <c r="J810" s="2605">
        <f>'Part VI-Pro Forma'!J103</f>
        <v>2558407.2260581134</v>
      </c>
      <c r="K810" s="2605">
        <f>'Part VI-Pro Forma'!K103</f>
        <v>2195598.4599071424</v>
      </c>
    </row>
    <row r="811" spans="1:11">
      <c r="A811" s="357" t="s">
        <v>2406</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2407</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730</v>
      </c>
      <c r="B813" s="2605" t="str">
        <f>'Part VI-Pro Forma'!B106</f>
        <v/>
      </c>
      <c r="C813" s="2605" t="str">
        <f>'Part VI-Pro Forma'!C106</f>
        <v/>
      </c>
      <c r="D813" s="2605" t="str">
        <f>'Part VI-Pro Forma'!D106</f>
        <v/>
      </c>
      <c r="E813" s="2605" t="str">
        <f>'Part VI-Pro Forma'!E106</f>
        <v/>
      </c>
      <c r="F813" s="2605" t="str">
        <f>'Part VI-Pro Forma'!F106</f>
        <v/>
      </c>
      <c r="G813" s="2605" t="str">
        <f>'Part VI-Pro Forma'!G106</f>
        <v/>
      </c>
      <c r="H813" s="2605" t="str">
        <f>'Part VI-Pro Forma'!H106</f>
        <v/>
      </c>
      <c r="I813" s="2605" t="str">
        <f>'Part VI-Pro Forma'!I106</f>
        <v/>
      </c>
      <c r="J813" s="2605" t="str">
        <f>'Part VI-Pro Forma'!J106</f>
        <v/>
      </c>
      <c r="K813" s="2605" t="str">
        <f>'Part VI-Pro Forma'!K106</f>
        <v/>
      </c>
    </row>
    <row r="814" spans="1:11">
      <c r="B814" s="2605"/>
      <c r="C814" s="2605"/>
      <c r="D814" s="2605"/>
      <c r="E814" s="2605"/>
      <c r="F814" s="2605"/>
      <c r="G814" s="2605"/>
      <c r="H814" s="2605"/>
      <c r="I814" s="2605"/>
      <c r="J814" s="2605"/>
      <c r="K814" s="2605"/>
    </row>
    <row r="815" spans="1:11">
      <c r="A815" s="361" t="s">
        <v>2284</v>
      </c>
      <c r="B815" s="2608">
        <f>K785+1</f>
        <v>31</v>
      </c>
      <c r="C815" s="2608">
        <f>B815+1</f>
        <v>32</v>
      </c>
      <c r="D815" s="2608">
        <f>C815+1</f>
        <v>33</v>
      </c>
      <c r="E815" s="2608">
        <f>D815+1</f>
        <v>34</v>
      </c>
      <c r="F815" s="2608">
        <f>E815+1</f>
        <v>35</v>
      </c>
      <c r="G815" s="2605"/>
      <c r="H815" s="2605"/>
      <c r="I815" s="2605"/>
      <c r="J815" s="2605"/>
      <c r="K815" s="2605"/>
    </row>
    <row r="816" spans="1:11">
      <c r="A816" s="357" t="s">
        <v>2215</v>
      </c>
      <c r="B816" s="2605">
        <f>'Part VI-Pro Forma'!B109</f>
        <v>2300639.3297550147</v>
      </c>
      <c r="C816" s="2605">
        <f>'Part VI-Pro Forma'!C109</f>
        <v>2346652.1163501148</v>
      </c>
      <c r="D816" s="2605">
        <f>'Part VI-Pro Forma'!D109</f>
        <v>2393585.1586771174</v>
      </c>
      <c r="E816" s="2605">
        <f>'Part VI-Pro Forma'!E109</f>
        <v>2441456.8618506598</v>
      </c>
      <c r="F816" s="2605">
        <f>'Part VI-Pro Forma'!F109</f>
        <v>2490285.9990876731</v>
      </c>
      <c r="G816" s="2605"/>
      <c r="H816" s="2605"/>
      <c r="I816" s="2605"/>
      <c r="J816" s="2605"/>
      <c r="K816" s="2605"/>
    </row>
    <row r="817" spans="1:11">
      <c r="A817" s="357" t="s">
        <v>952</v>
      </c>
      <c r="B817" s="2605">
        <f>'Part VI-Pro Forma'!B110</f>
        <v>46012.786595100297</v>
      </c>
      <c r="C817" s="2605">
        <f>'Part VI-Pro Forma'!C110</f>
        <v>46933.042327002295</v>
      </c>
      <c r="D817" s="2605">
        <f>'Part VI-Pro Forma'!D110</f>
        <v>47871.703173542352</v>
      </c>
      <c r="E817" s="2605">
        <f>'Part VI-Pro Forma'!E110</f>
        <v>48829.137237013201</v>
      </c>
      <c r="F817" s="2605">
        <f>'Part VI-Pro Forma'!F110</f>
        <v>49805.719981753457</v>
      </c>
      <c r="G817" s="2605"/>
      <c r="H817" s="2605"/>
      <c r="I817" s="2605"/>
      <c r="J817" s="2605"/>
      <c r="K817" s="2605"/>
    </row>
    <row r="818" spans="1:11">
      <c r="A818" s="357" t="s">
        <v>2216</v>
      </c>
      <c r="B818" s="2605">
        <f>'Part VI-Pro Forma'!B111</f>
        <v>-164265.64814450804</v>
      </c>
      <c r="C818" s="2605">
        <f>'Part VI-Pro Forma'!C111</f>
        <v>-167550.96110739821</v>
      </c>
      <c r="D818" s="2605">
        <f>'Part VI-Pro Forma'!D111</f>
        <v>-170901.9803295462</v>
      </c>
      <c r="E818" s="2605">
        <f>'Part VI-Pro Forma'!E111</f>
        <v>-174320.01993613713</v>
      </c>
      <c r="F818" s="2605">
        <f>'Part VI-Pro Forma'!F111</f>
        <v>-177806.42033485987</v>
      </c>
      <c r="G818" s="2605"/>
      <c r="H818" s="2605"/>
      <c r="I818" s="2605"/>
      <c r="J818" s="2605"/>
      <c r="K818" s="2605"/>
    </row>
    <row r="819" spans="1:11">
      <c r="A819" s="357" t="s">
        <v>47</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48</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3837</v>
      </c>
      <c r="B821" s="2605">
        <f>'Part VI-Pro Forma'!B114</f>
        <v>2182386.4682056066</v>
      </c>
      <c r="C821" s="2605">
        <f>'Part VI-Pro Forma'!C114</f>
        <v>2226034.1975697186</v>
      </c>
      <c r="D821" s="2605">
        <f>'Part VI-Pro Forma'!D114</f>
        <v>2270554.8815211137</v>
      </c>
      <c r="E821" s="2605">
        <f>'Part VI-Pro Forma'!E114</f>
        <v>2315965.9791515358</v>
      </c>
      <c r="F821" s="2605">
        <f>'Part VI-Pro Forma'!F114</f>
        <v>2362285.2987345667</v>
      </c>
      <c r="G821" s="2605"/>
      <c r="H821" s="2605"/>
      <c r="I821" s="2605"/>
      <c r="J821" s="2605"/>
      <c r="K821" s="2605"/>
    </row>
    <row r="822" spans="1:11">
      <c r="A822" s="357" t="s">
        <v>572</v>
      </c>
      <c r="B822" s="2605">
        <f>'Part VI-Pro Forma'!B115</f>
        <v>-1093845.83264162</v>
      </c>
      <c r="C822" s="2605">
        <f>'Part VI-Pro Forma'!C115</f>
        <v>-1126661.2076208687</v>
      </c>
      <c r="D822" s="2605">
        <f>'Part VI-Pro Forma'!D115</f>
        <v>-1160461.0438494945</v>
      </c>
      <c r="E822" s="2605">
        <f>'Part VI-Pro Forma'!E115</f>
        <v>-1195274.8751649794</v>
      </c>
      <c r="F822" s="2605">
        <f>'Part VI-Pro Forma'!F115</f>
        <v>-1231133.1214199285</v>
      </c>
      <c r="G822" s="2605"/>
      <c r="H822" s="2605"/>
      <c r="I822" s="2605"/>
      <c r="J822" s="2605"/>
      <c r="K822" s="2605"/>
    </row>
    <row r="823" spans="1:11">
      <c r="A823" s="357" t="s">
        <v>1050</v>
      </c>
      <c r="B823" s="2605">
        <f>'Part VI-Pro Forma'!B116</f>
        <v>-146223</v>
      </c>
      <c r="C823" s="2605">
        <f>'Part VI-Pro Forma'!C116</f>
        <v>-150610</v>
      </c>
      <c r="D823" s="2605">
        <f>'Part VI-Pro Forma'!D116</f>
        <v>-155128</v>
      </c>
      <c r="E823" s="2605">
        <f>'Part VI-Pro Forma'!E116</f>
        <v>-159782</v>
      </c>
      <c r="F823" s="2605">
        <f>'Part VI-Pro Forma'!F116</f>
        <v>-164575</v>
      </c>
      <c r="G823" s="2605"/>
      <c r="H823" s="2605"/>
      <c r="I823" s="2605"/>
      <c r="J823" s="2605"/>
      <c r="K823" s="2605"/>
    </row>
    <row r="824" spans="1:11">
      <c r="A824" s="357" t="s">
        <v>1128</v>
      </c>
      <c r="B824" s="2605">
        <f>'Part VI-Pro Forma'!B117</f>
        <v>-54613.405601767328</v>
      </c>
      <c r="C824" s="2605">
        <f>'Part VI-Pro Forma'!C117</f>
        <v>-56251.807769820356</v>
      </c>
      <c r="D824" s="2605">
        <f>'Part VI-Pro Forma'!D117</f>
        <v>-57939.362002914961</v>
      </c>
      <c r="E824" s="2605">
        <f>'Part VI-Pro Forma'!E117</f>
        <v>-59677.542863002411</v>
      </c>
      <c r="F824" s="2605">
        <f>'Part VI-Pro Forma'!F117</f>
        <v>-61467.869148892474</v>
      </c>
      <c r="G824" s="2605"/>
      <c r="H824" s="2605"/>
      <c r="I824" s="2605"/>
      <c r="J824" s="2605"/>
      <c r="K824" s="2605"/>
    </row>
    <row r="825" spans="1:11">
      <c r="A825" s="357" t="s">
        <v>3836</v>
      </c>
      <c r="B825" s="2605">
        <f>IF(B815&lt;=+'Part V-Revenues &amp; Expenses'!$N$251,-'Part V-Revenues &amp; Expenses'!$K$251,0)</f>
        <v>0</v>
      </c>
      <c r="C825" s="2605">
        <f>IF(C815&lt;=+'Part V-Revenues &amp; Expenses'!$N$251,-'Part V-Revenues &amp; Expenses'!$K$251,0)</f>
        <v>0</v>
      </c>
      <c r="D825" s="2605">
        <f>IF(D815&lt;=+'Part V-Revenues &amp; Expenses'!$N$251,-'Part V-Revenues &amp; Expenses'!$K$251,0)</f>
        <v>0</v>
      </c>
      <c r="E825" s="2605">
        <f>IF(E815&lt;=+'Part V-Revenues &amp; Expenses'!$N$251,-'Part V-Revenues &amp; Expenses'!$K$251,0)</f>
        <v>0</v>
      </c>
      <c r="F825" s="2605">
        <f>IF(F815&lt;=+'Part V-Revenues &amp; Expenses'!$N$251,-'Part V-Revenues &amp; Expenses'!$K$251,0)</f>
        <v>0</v>
      </c>
      <c r="G825" s="2605"/>
      <c r="H825" s="2605"/>
      <c r="I825" s="2605"/>
      <c r="J825" s="2605"/>
      <c r="K825" s="2605"/>
    </row>
    <row r="826" spans="1:11">
      <c r="A826" s="357" t="s">
        <v>1129</v>
      </c>
      <c r="B826" s="2605">
        <f>SUM(B821:B825)</f>
        <v>887704.22996221925</v>
      </c>
      <c r="C826" s="2605">
        <f>SUM(C821:C825)</f>
        <v>892511.18217902957</v>
      </c>
      <c r="D826" s="2605">
        <f>SUM(D821:D825)</f>
        <v>897026.47566870414</v>
      </c>
      <c r="E826" s="2605">
        <f>SUM(E821:E825)</f>
        <v>901231.56112355401</v>
      </c>
      <c r="F826" s="2605">
        <f>SUM(F821:F825)</f>
        <v>905109.30816574569</v>
      </c>
      <c r="G826" s="2605"/>
      <c r="H826" s="2605"/>
      <c r="I826" s="2605"/>
      <c r="J826" s="2605"/>
      <c r="K826" s="2605"/>
    </row>
    <row r="827" spans="1:11">
      <c r="A827" s="357" t="str">
        <f>$A797</f>
        <v>Mortgage A</v>
      </c>
      <c r="B827" s="2605">
        <f>'Part VI-Pro Forma'!B120</f>
        <v>-512433.2280002333</v>
      </c>
      <c r="C827" s="2605">
        <f>'Part VI-Pro Forma'!C120</f>
        <v>-512433.2280002333</v>
      </c>
      <c r="D827" s="2605">
        <f>'Part VI-Pro Forma'!D120</f>
        <v>-512433.2280002333</v>
      </c>
      <c r="E827" s="2605">
        <f>'Part VI-Pro Forma'!E120</f>
        <v>-512433.2280002333</v>
      </c>
      <c r="F827" s="2605">
        <f>'Part VI-Pro Forma'!F120</f>
        <v>-512433.2280002333</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711</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1095</v>
      </c>
      <c r="B832" s="2605">
        <f>'Part VI-Pro Forma'!B125</f>
        <v>-5000</v>
      </c>
      <c r="C832" s="2605">
        <f>'Part VI-Pro Forma'!C125</f>
        <v>-5000</v>
      </c>
      <c r="D832" s="2605">
        <f>'Part VI-Pro Forma'!D125</f>
        <v>-5000</v>
      </c>
      <c r="E832" s="2605">
        <f>'Part VI-Pro Forma'!E125</f>
        <v>-5000</v>
      </c>
      <c r="F832" s="2605">
        <f>'Part VI-Pro Forma'!F125</f>
        <v>-5000</v>
      </c>
      <c r="G832" s="2605"/>
      <c r="H832" s="2605"/>
      <c r="I832" s="2605"/>
      <c r="J832" s="2605"/>
      <c r="K832" s="2605"/>
    </row>
    <row r="833" spans="1:11">
      <c r="A833" s="357" t="s">
        <v>1096</v>
      </c>
      <c r="B833" s="2605">
        <f>SUM(B826:B832)</f>
        <v>370271.00196198595</v>
      </c>
      <c r="C833" s="2605">
        <f>SUM(C826:C832)</f>
        <v>375077.95417879627</v>
      </c>
      <c r="D833" s="2605">
        <f>SUM(D826:D832)</f>
        <v>379593.24766847084</v>
      </c>
      <c r="E833" s="2605">
        <f>SUM(E826:E832)</f>
        <v>383798.33312332071</v>
      </c>
      <c r="F833" s="2605">
        <f>SUM(F826:F832)</f>
        <v>387676.08016551239</v>
      </c>
      <c r="G833" s="2605"/>
      <c r="H833" s="2605"/>
      <c r="I833" s="2605"/>
      <c r="J833" s="2605"/>
      <c r="K833" s="2605"/>
    </row>
    <row r="834" spans="1:11">
      <c r="A834" s="357" t="str">
        <f>$A804</f>
        <v>DCR Mortgage A</v>
      </c>
      <c r="B834" s="2606">
        <f>IF(B827=0,"",-B826/B827)</f>
        <v>1.7323315145399101</v>
      </c>
      <c r="C834" s="2606">
        <f>IF(C827=0,"",-C826/C827)</f>
        <v>1.7417121556735256</v>
      </c>
      <c r="D834" s="2606">
        <f>IF(D827=0,"",-D826/D827)</f>
        <v>1.7505236324532329</v>
      </c>
      <c r="E834" s="2606">
        <f>IF(E827=0,"",-E826/E827)</f>
        <v>1.758729746391746</v>
      </c>
      <c r="F834" s="2606">
        <f>IF(F827=0,"",-F826/F827)</f>
        <v>1.7662970680061629</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3213</v>
      </c>
      <c r="B838" s="2606">
        <f>IF(AND(B827=0,B828=0,B829=0,B830=0),"",-B826/(B827+B828+B829+B830))</f>
        <v>1.7323315145399101</v>
      </c>
      <c r="C838" s="2606">
        <f>IF(AND(C827=0,C828=0,C829=0,C830=0),"",-C826/(C827+C828+C829+C830))</f>
        <v>1.7417121556735256</v>
      </c>
      <c r="D838" s="2606">
        <f>IF(AND(D827=0,D828=0,D829=0,D830=0),"",-D826/(D827+D828+D829+D830))</f>
        <v>1.7505236324532329</v>
      </c>
      <c r="E838" s="2606">
        <f>IF(AND(E827=0,E828=0,E829=0,E830=0),"",-E826/(E827+E828+E829+E830))</f>
        <v>1.758729746391746</v>
      </c>
      <c r="F838" s="2606">
        <f>IF(AND(F827=0,F828=0,F829=0,F830=0),"",-F826/(F827+F828+F829+F830))</f>
        <v>1.7662970680061629</v>
      </c>
      <c r="G838" s="2605"/>
      <c r="H838" s="2605"/>
      <c r="I838" s="2605"/>
      <c r="J838" s="2605"/>
      <c r="K838" s="2605"/>
    </row>
    <row r="839" spans="1:11">
      <c r="A839" s="357" t="s">
        <v>718</v>
      </c>
      <c r="B839" s="2607">
        <f>IF(OR(B823="Choose mgt fee",B823="Choose One!"),"",(B816+B817+B818+B819+B820) / -(B822+B823+B824))</f>
        <v>1.6856541348452019</v>
      </c>
      <c r="C839" s="2607">
        <f>IF(OR(C823="Choose mgt fee",C823="Choose One!"),"",(C816+C817+C818+C819+C820) / -(C822+C823+C824))</f>
        <v>1.6692881726661057</v>
      </c>
      <c r="D839" s="2607">
        <f>IF(OR(D823="Choose mgt fee",D823="Choose One!"),"",(D816+D817+D818+D819+D820) / -(D822+D823+D824))</f>
        <v>1.6530818524368347</v>
      </c>
      <c r="E839" s="2607">
        <f>IF(OR(E823="Choose mgt fee",E823="Choose One!"),"",(E816+E817+E818+E819+E820) / -(E822+E823+E824))</f>
        <v>1.6370323289227622</v>
      </c>
      <c r="F839" s="2607">
        <f>IF(OR(F823="Choose mgt fee",F823="Choose One!"),"",(F816+F817+F818+F819+F820) / -(F822+F823+F824))</f>
        <v>1.6211393229258659</v>
      </c>
      <c r="G839" s="2605"/>
      <c r="H839" s="2605"/>
      <c r="I839" s="2605"/>
      <c r="J839" s="2605"/>
      <c r="K839" s="2605"/>
    </row>
    <row r="840" spans="1:11">
      <c r="A840" s="357" t="s">
        <v>2405</v>
      </c>
      <c r="B840" s="2605">
        <f>'Part VI-Pro Forma'!B133</f>
        <v>1809453.1755622507</v>
      </c>
      <c r="C840" s="2605">
        <f>'Part VI-Pro Forma'!C133</f>
        <v>1398470.3258266109</v>
      </c>
      <c r="D840" s="2605">
        <f>'Part VI-Pro Forma'!D133</f>
        <v>961052.3134238862</v>
      </c>
      <c r="E840" s="2605">
        <f>'Part VI-Pro Forma'!E133</f>
        <v>495498.78072191577</v>
      </c>
      <c r="F840" s="2605">
        <f>'Part VI-Pro Forma'!F133</f>
        <v>1.5832483768463135E-7</v>
      </c>
      <c r="G840" s="2605"/>
      <c r="H840" s="2605"/>
      <c r="I840" s="2605"/>
      <c r="J840" s="2605"/>
      <c r="K840" s="2605"/>
    </row>
    <row r="841" spans="1:11">
      <c r="A841" s="357" t="s">
        <v>2406</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2407</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730</v>
      </c>
      <c r="B843" s="2605" t="str">
        <f>'Part VI-Pro Forma'!B136</f>
        <v/>
      </c>
      <c r="C843" s="2605" t="str">
        <f>'Part VI-Pro Forma'!C136</f>
        <v/>
      </c>
      <c r="D843" s="2605" t="str">
        <f>'Part VI-Pro Forma'!D136</f>
        <v/>
      </c>
      <c r="E843" s="2605" t="str">
        <f>'Part VI-Pro Forma'!E136</f>
        <v/>
      </c>
      <c r="F843" s="2605" t="str">
        <f>'Part VI-Pro Forma'!F136</f>
        <v/>
      </c>
      <c r="G843" s="2605"/>
      <c r="H843" s="2605"/>
      <c r="I843" s="2605"/>
      <c r="J843" s="2605"/>
      <c r="K843" s="2605"/>
    </row>
    <row r="845" spans="1:11">
      <c r="A845" s="361" t="s">
        <v>529</v>
      </c>
      <c r="B845" s="361"/>
      <c r="G845" s="361" t="s">
        <v>967</v>
      </c>
    </row>
    <row r="846" spans="1:11">
      <c r="B846" s="361"/>
    </row>
    <row r="847" spans="1:11" ht="13.5" customHeight="1">
      <c r="A847" s="2638" t="str">
        <f>'Part VI-Pro Forma'!A140</f>
        <v>The debt service payments do not deviate from the amounts shown in the Sources of Funds tab. The development meets Threshold Feasibility requirements.</v>
      </c>
      <c r="B847" s="2638"/>
      <c r="C847" s="2638"/>
      <c r="D847" s="2638"/>
      <c r="E847" s="2638"/>
      <c r="F847" s="2638"/>
      <c r="G847" s="2638">
        <f>'Part VI-Pro Forma'!G140</f>
        <v>0</v>
      </c>
      <c r="H847" s="2638"/>
      <c r="I847" s="2638"/>
      <c r="J847" s="2638"/>
      <c r="K847" s="2638"/>
    </row>
    <row r="852" spans="1:17">
      <c r="A852" s="2846" t="str">
        <f>CONCATENATE("PART SEVEN - THRESHOLD CRITERIA","  -  ",'Part I-Project Identification'!$O$7," ",'Part I-Project Identification'!$F$25,", ",'Part I-Project Identification'!F881,", ",'Part I-Project Identification'!J881," County")</f>
        <v>PART SEVEN - THRESHOLD CRITERIA  -  2023-0 Helix,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6770</v>
      </c>
      <c r="Q854" s="2849" t="s">
        <v>6530</v>
      </c>
    </row>
    <row r="855" spans="1:17">
      <c r="A855" s="2850"/>
      <c r="B855" s="2848"/>
      <c r="C855" s="2848"/>
      <c r="D855" s="2848"/>
      <c r="E855" s="2850"/>
      <c r="F855" s="2850"/>
      <c r="G855" s="2850"/>
      <c r="H855" s="2850"/>
      <c r="I855" s="2847"/>
      <c r="J855" s="2846"/>
      <c r="K855" s="2850"/>
      <c r="L855" s="2850"/>
      <c r="M855" s="2850"/>
      <c r="N855" s="2850"/>
      <c r="O855" s="2847"/>
      <c r="P855" s="2849"/>
      <c r="Q855" s="2849"/>
    </row>
    <row r="856" spans="1:17">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6771</v>
      </c>
      <c r="B858" s="2855"/>
      <c r="C858" s="2855"/>
      <c r="D858" s="2855"/>
      <c r="E858" s="2855"/>
      <c r="F858" s="2855"/>
      <c r="G858" s="2855"/>
      <c r="H858" s="2855"/>
      <c r="I858" s="2855"/>
      <c r="J858" s="2855"/>
      <c r="K858" s="2855"/>
      <c r="L858" s="2855"/>
      <c r="M858" s="2855"/>
      <c r="N858" s="2855"/>
      <c r="O858" s="2855"/>
      <c r="P858" s="2855"/>
      <c r="Q858" s="2855"/>
    </row>
    <row r="859" spans="1:17">
      <c r="A859" s="2847"/>
      <c r="B859" s="2847"/>
      <c r="C859" s="2847"/>
      <c r="D859" s="2847"/>
      <c r="E859" s="2852"/>
      <c r="F859" s="2852"/>
      <c r="G859" s="2852"/>
      <c r="H859" s="2852"/>
      <c r="I859" s="2852"/>
      <c r="J859" s="2846"/>
      <c r="K859" s="2847"/>
      <c r="L859" s="2853"/>
      <c r="M859" s="2846"/>
      <c r="N859" s="2850"/>
      <c r="O859" s="2847"/>
      <c r="P859" s="2854"/>
      <c r="Q859" s="2854"/>
    </row>
    <row r="860" spans="1:17" ht="15">
      <c r="A860" s="2856" t="s">
        <v>6994</v>
      </c>
      <c r="B860" s="2857"/>
      <c r="C860" s="2857"/>
      <c r="D860" s="2857"/>
      <c r="E860" s="2857"/>
      <c r="F860" s="2857"/>
      <c r="G860" s="2857"/>
      <c r="H860" s="2857"/>
      <c r="I860" s="2858"/>
      <c r="J860" s="2858"/>
      <c r="K860" s="2859"/>
      <c r="L860" s="2859"/>
      <c r="M860" s="2859"/>
      <c r="N860" s="2859"/>
      <c r="O860" s="2859"/>
      <c r="P860" s="2858"/>
      <c r="Q860" s="2858"/>
    </row>
    <row r="861" spans="1:17" ht="15">
      <c r="A861" s="2860" t="s">
        <v>3066</v>
      </c>
      <c r="B861" s="2857"/>
      <c r="C861" s="2857"/>
      <c r="D861" s="2857"/>
      <c r="E861" s="2857"/>
      <c r="F861" s="2857"/>
      <c r="G861" s="2857"/>
      <c r="H861" s="2106"/>
      <c r="I861" s="2858"/>
      <c r="J861" s="2858"/>
      <c r="K861" s="2106"/>
      <c r="L861" s="2106"/>
      <c r="M861" s="2109"/>
      <c r="N861" s="2109"/>
      <c r="O861" s="2857"/>
      <c r="P861" s="2857"/>
      <c r="Q861" s="2857"/>
    </row>
    <row r="862" spans="1:17" ht="14.25">
      <c r="A862" s="2861" t="s">
        <v>1329</v>
      </c>
      <c r="B862" s="2861"/>
      <c r="C862" s="2861"/>
      <c r="D862" s="2861"/>
      <c r="E862" s="2861"/>
      <c r="F862" s="2861"/>
      <c r="G862" s="2861"/>
      <c r="H862" s="2861"/>
      <c r="I862" s="2861"/>
      <c r="J862" s="2861"/>
      <c r="K862" s="2861"/>
      <c r="L862" s="2861"/>
      <c r="M862" s="2861"/>
      <c r="N862" s="2861"/>
      <c r="O862" s="2861"/>
      <c r="P862" s="2861"/>
      <c r="Q862" s="2861"/>
    </row>
    <row r="863" spans="1:17" ht="14.25">
      <c r="A863" s="2861" t="s">
        <v>218</v>
      </c>
      <c r="B863" s="2861"/>
      <c r="C863" s="2861"/>
      <c r="D863" s="2861"/>
      <c r="E863" s="2861"/>
      <c r="F863" s="2861"/>
      <c r="G863" s="2861"/>
      <c r="H863" s="2861"/>
      <c r="I863" s="2861"/>
      <c r="J863" s="2861"/>
      <c r="K863" s="2861"/>
      <c r="L863" s="2861"/>
      <c r="M863" s="2861"/>
      <c r="N863" s="2861"/>
      <c r="O863" s="2861"/>
      <c r="P863" s="2861"/>
      <c r="Q863" s="2861"/>
    </row>
    <row r="864" spans="1:17" ht="14.25">
      <c r="A864" s="2861" t="s">
        <v>1325</v>
      </c>
      <c r="B864" s="2861"/>
      <c r="C864" s="2861"/>
      <c r="D864" s="2861"/>
      <c r="E864" s="2861"/>
      <c r="F864" s="2861"/>
      <c r="G864" s="2861"/>
      <c r="H864" s="2861"/>
      <c r="I864" s="2861"/>
      <c r="J864" s="2861"/>
      <c r="K864" s="2861"/>
      <c r="L864" s="2861"/>
      <c r="M864" s="2861"/>
      <c r="N864" s="2861"/>
      <c r="O864" s="2861"/>
      <c r="P864" s="2861"/>
      <c r="Q864" s="2861"/>
    </row>
    <row r="865" spans="1:17" ht="14.25">
      <c r="A865" s="2861" t="s">
        <v>1326</v>
      </c>
      <c r="B865" s="2861"/>
      <c r="C865" s="2861"/>
      <c r="D865" s="2861"/>
      <c r="E865" s="2861"/>
      <c r="F865" s="2861"/>
      <c r="G865" s="2861"/>
      <c r="H865" s="2861"/>
      <c r="I865" s="2861"/>
      <c r="J865" s="2861"/>
      <c r="K865" s="2861"/>
      <c r="L865" s="2861"/>
      <c r="M865" s="2861"/>
      <c r="N865" s="2861"/>
      <c r="O865" s="2861"/>
      <c r="P865" s="2861"/>
      <c r="Q865" s="2861"/>
    </row>
    <row r="866" spans="1:17" ht="14.25">
      <c r="A866" s="2861" t="s">
        <v>1327</v>
      </c>
      <c r="B866" s="2861"/>
      <c r="C866" s="2861"/>
      <c r="D866" s="2861"/>
      <c r="E866" s="2861"/>
      <c r="F866" s="2861"/>
      <c r="G866" s="2861"/>
      <c r="H866" s="2861"/>
      <c r="I866" s="2861"/>
      <c r="J866" s="2861"/>
      <c r="K866" s="2861"/>
      <c r="L866" s="2861"/>
      <c r="M866" s="2861"/>
      <c r="N866" s="2861"/>
      <c r="O866" s="2861"/>
      <c r="P866" s="2861"/>
      <c r="Q866" s="2861"/>
    </row>
    <row r="867" spans="1:17" ht="14.25">
      <c r="A867" s="2861" t="s">
        <v>1328</v>
      </c>
      <c r="B867" s="2861"/>
      <c r="C867" s="2861"/>
      <c r="D867" s="2861"/>
      <c r="E867" s="2861"/>
      <c r="F867" s="2861"/>
      <c r="G867" s="2861"/>
      <c r="H867" s="2861"/>
      <c r="I867" s="2861"/>
      <c r="J867" s="2861"/>
      <c r="K867" s="2861"/>
      <c r="L867" s="2861"/>
      <c r="M867" s="2861"/>
      <c r="N867" s="2861"/>
      <c r="O867" s="2861"/>
      <c r="P867" s="2861"/>
      <c r="Q867" s="2861"/>
    </row>
    <row r="868" spans="1:17" ht="14.25">
      <c r="A868" s="2861" t="s">
        <v>1330</v>
      </c>
      <c r="B868" s="2861"/>
      <c r="C868" s="2861"/>
      <c r="D868" s="2861"/>
      <c r="E868" s="2861"/>
      <c r="F868" s="2861"/>
      <c r="G868" s="2861"/>
      <c r="H868" s="2861"/>
      <c r="I868" s="2861"/>
      <c r="J868" s="2861"/>
      <c r="K868" s="2861"/>
      <c r="L868" s="2861"/>
      <c r="M868" s="2861"/>
      <c r="N868" s="2861"/>
      <c r="O868" s="2861"/>
      <c r="P868" s="2861"/>
      <c r="Q868" s="2861"/>
    </row>
    <row r="869" spans="1:17" ht="14.25">
      <c r="A869" s="2861" t="s">
        <v>1872</v>
      </c>
      <c r="B869" s="2861"/>
      <c r="C869" s="2861"/>
      <c r="D869" s="2861"/>
      <c r="E869" s="2861"/>
      <c r="F869" s="2861"/>
      <c r="G869" s="2861"/>
      <c r="H869" s="2861"/>
      <c r="I869" s="2861"/>
      <c r="J869" s="2861"/>
      <c r="K869" s="2861"/>
      <c r="L869" s="2861"/>
      <c r="M869" s="2861"/>
      <c r="N869" s="2861"/>
      <c r="O869" s="2861"/>
      <c r="P869" s="2861"/>
      <c r="Q869" s="2861"/>
    </row>
    <row r="870" spans="1:17" ht="14.25">
      <c r="A870" s="2861" t="s">
        <v>1873</v>
      </c>
      <c r="B870" s="2861"/>
      <c r="C870" s="2861"/>
      <c r="D870" s="2861"/>
      <c r="E870" s="2861"/>
      <c r="F870" s="2861"/>
      <c r="G870" s="2861"/>
      <c r="H870" s="2861"/>
      <c r="I870" s="2861"/>
      <c r="J870" s="2861"/>
      <c r="K870" s="2861"/>
      <c r="L870" s="2861"/>
      <c r="M870" s="2861"/>
      <c r="N870" s="2861"/>
      <c r="O870" s="2861"/>
      <c r="P870" s="2861"/>
      <c r="Q870" s="2861"/>
    </row>
    <row r="871" spans="1:17" ht="14.25">
      <c r="A871" s="2861" t="s">
        <v>1874</v>
      </c>
      <c r="B871" s="2861"/>
      <c r="C871" s="2861"/>
      <c r="D871" s="2861"/>
      <c r="E871" s="2861"/>
      <c r="F871" s="2861"/>
      <c r="G871" s="2861"/>
      <c r="H871" s="2861"/>
      <c r="I871" s="2861"/>
      <c r="J871" s="2861"/>
      <c r="K871" s="2861"/>
      <c r="L871" s="2861"/>
      <c r="M871" s="2861"/>
      <c r="N871" s="2861"/>
      <c r="O871" s="2861"/>
      <c r="P871" s="2861"/>
      <c r="Q871" s="2861"/>
    </row>
    <row r="872" spans="1:17" ht="14.25">
      <c r="A872" s="2861" t="s">
        <v>1875</v>
      </c>
      <c r="B872" s="2861"/>
      <c r="C872" s="2861"/>
      <c r="D872" s="2861"/>
      <c r="E872" s="2861"/>
      <c r="F872" s="2861"/>
      <c r="G872" s="2861"/>
      <c r="H872" s="2861"/>
      <c r="I872" s="2861"/>
      <c r="J872" s="2861"/>
      <c r="K872" s="2861"/>
      <c r="L872" s="2861"/>
      <c r="M872" s="2861"/>
      <c r="N872" s="2861"/>
      <c r="O872" s="2861"/>
      <c r="P872" s="2861"/>
      <c r="Q872" s="2861"/>
    </row>
    <row r="873" spans="1:17" ht="14.25">
      <c r="A873" s="2861" t="s">
        <v>1876</v>
      </c>
      <c r="B873" s="2861"/>
      <c r="C873" s="2861"/>
      <c r="D873" s="2861"/>
      <c r="E873" s="2861"/>
      <c r="F873" s="2861"/>
      <c r="G873" s="2861"/>
      <c r="H873" s="2861"/>
      <c r="I873" s="2861"/>
      <c r="J873" s="2861"/>
      <c r="K873" s="2861"/>
      <c r="L873" s="2861"/>
      <c r="M873" s="2861"/>
      <c r="N873" s="2861"/>
      <c r="O873" s="2861"/>
      <c r="P873" s="2861"/>
      <c r="Q873" s="2861"/>
    </row>
    <row r="874" spans="1:17" ht="14.25">
      <c r="A874" s="2861" t="s">
        <v>1877</v>
      </c>
      <c r="B874" s="2861"/>
      <c r="C874" s="2861"/>
      <c r="D874" s="2861"/>
      <c r="E874" s="2861"/>
      <c r="F874" s="2861"/>
      <c r="G874" s="2861"/>
      <c r="H874" s="2861"/>
      <c r="I874" s="2861"/>
      <c r="J874" s="2861"/>
      <c r="K874" s="2861"/>
      <c r="L874" s="2861"/>
      <c r="M874" s="2861"/>
      <c r="N874" s="2861"/>
      <c r="O874" s="2861"/>
      <c r="P874" s="2861"/>
      <c r="Q874" s="2861"/>
    </row>
    <row r="875" spans="1:17" ht="14.25">
      <c r="A875" s="2861" t="s">
        <v>1878</v>
      </c>
      <c r="B875" s="2861"/>
      <c r="C875" s="2861"/>
      <c r="D875" s="2861"/>
      <c r="E875" s="2861"/>
      <c r="F875" s="2861"/>
      <c r="G875" s="2861"/>
      <c r="H875" s="2861"/>
      <c r="I875" s="2861"/>
      <c r="J875" s="2861"/>
      <c r="K875" s="2861"/>
      <c r="L875" s="2861"/>
      <c r="M875" s="2861"/>
      <c r="N875" s="2861"/>
      <c r="O875" s="2861"/>
      <c r="P875" s="2861"/>
      <c r="Q875" s="2861"/>
    </row>
    <row r="876" spans="1:17" ht="14.25">
      <c r="A876" s="2861" t="s">
        <v>1879</v>
      </c>
      <c r="B876" s="2861"/>
      <c r="C876" s="2861"/>
      <c r="D876" s="2861"/>
      <c r="E876" s="2861"/>
      <c r="F876" s="2861"/>
      <c r="G876" s="2861"/>
      <c r="H876" s="2861"/>
      <c r="I876" s="2861"/>
      <c r="J876" s="2861"/>
      <c r="K876" s="2861"/>
      <c r="L876" s="2861"/>
      <c r="M876" s="2861"/>
      <c r="N876" s="2861"/>
      <c r="O876" s="2861"/>
      <c r="P876" s="2861"/>
      <c r="Q876" s="2861"/>
    </row>
    <row r="877" spans="1:17" ht="14.25">
      <c r="A877" s="2861" t="s">
        <v>1880</v>
      </c>
      <c r="B877" s="2861"/>
      <c r="C877" s="2861"/>
      <c r="D877" s="2861"/>
      <c r="E877" s="2861"/>
      <c r="F877" s="2861"/>
      <c r="G877" s="2861"/>
      <c r="H877" s="2861"/>
      <c r="I877" s="2861"/>
      <c r="J877" s="2861"/>
      <c r="K877" s="2861"/>
      <c r="L877" s="2861"/>
      <c r="M877" s="2861"/>
      <c r="N877" s="2861"/>
      <c r="O877" s="2861"/>
      <c r="P877" s="2861"/>
      <c r="Q877" s="2861"/>
    </row>
    <row r="878" spans="1:17" ht="14.25">
      <c r="A878" s="2861" t="s">
        <v>1881</v>
      </c>
      <c r="B878" s="2861"/>
      <c r="C878" s="2861"/>
      <c r="D878" s="2861"/>
      <c r="E878" s="2861"/>
      <c r="F878" s="2861"/>
      <c r="G878" s="2861"/>
      <c r="H878" s="2861"/>
      <c r="I878" s="2861"/>
      <c r="J878" s="2861"/>
      <c r="K878" s="2861"/>
      <c r="L878" s="2861"/>
      <c r="M878" s="2861"/>
      <c r="N878" s="2861"/>
      <c r="O878" s="2861"/>
      <c r="P878" s="2861"/>
      <c r="Q878" s="2861"/>
    </row>
    <row r="879" spans="1:17" ht="14.25">
      <c r="A879" s="2861" t="s">
        <v>1882</v>
      </c>
      <c r="B879" s="2861"/>
      <c r="C879" s="2861"/>
      <c r="D879" s="2861"/>
      <c r="E879" s="2861"/>
      <c r="F879" s="2861"/>
      <c r="G879" s="2861"/>
      <c r="H879" s="2861"/>
      <c r="I879" s="2861"/>
      <c r="J879" s="2861"/>
      <c r="K879" s="2861"/>
      <c r="L879" s="2861"/>
      <c r="M879" s="2861"/>
      <c r="N879" s="2861"/>
      <c r="O879" s="2861"/>
      <c r="P879" s="2861"/>
      <c r="Q879" s="2861"/>
    </row>
    <row r="880" spans="1:17" ht="14.25">
      <c r="A880" s="2857"/>
      <c r="B880" s="2857"/>
      <c r="C880" s="2857"/>
      <c r="D880" s="2857"/>
      <c r="E880" s="2857"/>
      <c r="F880" s="2857"/>
      <c r="G880" s="2857"/>
      <c r="H880" s="2857"/>
      <c r="I880" s="2857"/>
      <c r="J880" s="2857"/>
      <c r="K880" s="2857"/>
      <c r="L880" s="2857"/>
      <c r="M880" s="2857"/>
      <c r="N880" s="2857"/>
      <c r="O880" s="2857"/>
      <c r="P880" s="2857"/>
      <c r="Q880" s="2857"/>
    </row>
    <row r="881" spans="1:17" ht="14.25">
      <c r="A881" s="2857"/>
      <c r="B881" s="2857"/>
      <c r="C881" s="2857"/>
      <c r="D881" s="2857"/>
      <c r="E881" s="2857"/>
      <c r="F881" s="2857"/>
      <c r="G881" s="2857"/>
      <c r="H881" s="2857"/>
      <c r="I881" s="2857"/>
      <c r="J881" s="2857"/>
      <c r="K881" s="2857"/>
      <c r="L881" s="2857"/>
      <c r="M881" s="2857"/>
      <c r="N881" s="2857"/>
      <c r="O881" s="2857"/>
      <c r="P881" s="2857"/>
      <c r="Q881" s="2857"/>
    </row>
    <row r="882" spans="1:17" ht="15">
      <c r="A882" s="2862" t="s">
        <v>689</v>
      </c>
      <c r="B882" s="2858" t="s">
        <v>6632</v>
      </c>
      <c r="C882" s="2858"/>
      <c r="D882" s="2858"/>
      <c r="E882" s="2858"/>
      <c r="F882" s="2858"/>
      <c r="G882" s="2858"/>
      <c r="H882" s="2106"/>
      <c r="I882" s="2108"/>
      <c r="J882" s="2108"/>
      <c r="K882" s="2108"/>
      <c r="L882" s="2109"/>
      <c r="M882" s="2109"/>
      <c r="N882" s="2106"/>
      <c r="O882" s="2863" t="s">
        <v>1731</v>
      </c>
      <c r="P882" s="2858"/>
      <c r="Q882" s="2858"/>
    </row>
    <row r="883" spans="1:17" ht="15">
      <c r="A883" s="2106"/>
      <c r="B883" s="2864" t="s">
        <v>6773</v>
      </c>
      <c r="C883" s="2864"/>
      <c r="D883" s="2864"/>
      <c r="E883" s="2864"/>
      <c r="F883" s="2864"/>
      <c r="G883" s="2108"/>
      <c r="H883" s="2108"/>
      <c r="I883" s="2108"/>
      <c r="J883" s="2108"/>
      <c r="K883" s="2109"/>
      <c r="L883" s="2109"/>
      <c r="M883" s="2109"/>
      <c r="N883" s="2109"/>
      <c r="O883" s="2109"/>
      <c r="P883" s="2109"/>
      <c r="Q883" s="2106"/>
    </row>
    <row r="884" spans="1:17" ht="409.5">
      <c r="A884" s="2859" t="str">
        <f>'Part VII-Threshold Criteria'!A33</f>
        <v>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Clayton County.</v>
      </c>
      <c r="B884" s="2859"/>
      <c r="C884" s="2859"/>
      <c r="D884" s="2859"/>
      <c r="E884" s="2859"/>
      <c r="F884" s="2859"/>
      <c r="G884" s="2859"/>
      <c r="H884" s="2859"/>
      <c r="I884" s="2859"/>
      <c r="J884" s="2859"/>
      <c r="K884" s="2859"/>
      <c r="L884" s="2859"/>
      <c r="M884" s="2859"/>
      <c r="N884" s="2859"/>
      <c r="O884" s="2859"/>
      <c r="P884" s="2859"/>
      <c r="Q884" s="2859"/>
    </row>
    <row r="885" spans="1:17" ht="14.25">
      <c r="A885" s="2106"/>
      <c r="B885" s="2864" t="s">
        <v>1730</v>
      </c>
      <c r="C885" s="2865"/>
      <c r="D885" s="2866"/>
      <c r="E885" s="2866"/>
      <c r="F885" s="2866"/>
      <c r="G885" s="2866"/>
      <c r="H885" s="2866"/>
      <c r="I885" s="2866"/>
      <c r="J885" s="2866"/>
      <c r="K885" s="2866"/>
      <c r="L885" s="2866"/>
      <c r="M885" s="2866"/>
      <c r="N885" s="2866"/>
      <c r="O885" s="2866"/>
      <c r="P885" s="2866"/>
      <c r="Q885" s="2106"/>
    </row>
    <row r="886" spans="1:17" ht="14.25">
      <c r="A886" s="2859"/>
      <c r="B886" s="2859"/>
      <c r="C886" s="2859"/>
      <c r="D886" s="2859"/>
      <c r="E886" s="2859"/>
      <c r="F886" s="2859"/>
      <c r="G886" s="2859"/>
      <c r="H886" s="2859"/>
      <c r="I886" s="2859"/>
      <c r="J886" s="2859"/>
      <c r="K886" s="2859"/>
      <c r="L886" s="2859"/>
      <c r="M886" s="2859"/>
      <c r="N886" s="2859"/>
      <c r="O886" s="2859"/>
      <c r="P886" s="2859"/>
      <c r="Q886" s="2859"/>
    </row>
    <row r="887" spans="1:17" ht="15">
      <c r="A887" s="2106"/>
      <c r="B887" s="2108"/>
      <c r="C887" s="2866"/>
      <c r="D887" s="2866"/>
      <c r="E887" s="2866"/>
      <c r="F887" s="2866"/>
      <c r="G887" s="2866"/>
      <c r="H887" s="2866"/>
      <c r="I887" s="2866"/>
      <c r="J887" s="2866"/>
      <c r="K887" s="2866"/>
      <c r="L887" s="2866"/>
      <c r="M887" s="2866"/>
      <c r="N887" s="2866"/>
      <c r="O887" s="2866"/>
      <c r="P887" s="2866"/>
      <c r="Q887" s="2109"/>
    </row>
    <row r="888" spans="1:17" ht="15">
      <c r="A888" s="2106"/>
      <c r="B888" s="2108"/>
      <c r="C888" s="2866"/>
      <c r="D888" s="2866"/>
      <c r="E888" s="2866"/>
      <c r="F888" s="2866"/>
      <c r="G888" s="2866"/>
      <c r="H888" s="2866"/>
      <c r="I888" s="2866"/>
      <c r="J888" s="2866"/>
      <c r="K888" s="2866"/>
      <c r="L888" s="2866"/>
      <c r="M888" s="2866"/>
      <c r="N888" s="2866"/>
      <c r="O888" s="2866"/>
      <c r="P888" s="2866"/>
      <c r="Q888" s="2109"/>
    </row>
    <row r="889" spans="1:17" ht="15">
      <c r="A889" s="2862" t="s">
        <v>691</v>
      </c>
      <c r="B889" s="2858" t="s">
        <v>1118</v>
      </c>
      <c r="C889" s="2858"/>
      <c r="D889" s="2858"/>
      <c r="E889" s="2866"/>
      <c r="F889" s="2866"/>
      <c r="G889" s="2107"/>
      <c r="H889" s="2106"/>
      <c r="I889" s="2106"/>
      <c r="J889" s="2106"/>
      <c r="K889" s="2106"/>
      <c r="L889" s="2106"/>
      <c r="M889" s="2106"/>
      <c r="N889" s="2106"/>
      <c r="O889" s="2863" t="s">
        <v>1731</v>
      </c>
      <c r="P889" s="2858"/>
      <c r="Q889" s="2858"/>
    </row>
    <row r="890" spans="1:17" ht="15">
      <c r="A890" s="2862"/>
      <c r="B890" s="2106" t="s">
        <v>6995</v>
      </c>
      <c r="C890" s="2106"/>
      <c r="D890" s="2106"/>
      <c r="E890" s="2106"/>
      <c r="F890" s="2106"/>
      <c r="G890" s="2106"/>
      <c r="H890" s="2106"/>
      <c r="I890" s="2106"/>
      <c r="J890" s="2106"/>
      <c r="K890" s="2106"/>
      <c r="L890" s="2106"/>
      <c r="M890" s="2106"/>
      <c r="N890" s="2106"/>
      <c r="O890" s="2106"/>
      <c r="P890" s="2858" t="str">
        <f>'Part VII-Threshold Criteria'!P39</f>
        <v>Yes</v>
      </c>
      <c r="Q890" s="2858"/>
    </row>
    <row r="891" spans="1:17" ht="14.25">
      <c r="A891" s="2106"/>
      <c r="B891" s="2867" t="s">
        <v>3239</v>
      </c>
      <c r="C891" s="2106"/>
      <c r="D891" s="2867"/>
      <c r="E891" s="2867"/>
      <c r="F891" s="2867"/>
      <c r="G891" s="2867"/>
      <c r="H891" s="2107"/>
      <c r="I891" s="2108"/>
      <c r="J891" s="2108"/>
      <c r="K891" s="2106"/>
      <c r="L891" s="2106"/>
      <c r="M891" s="2106"/>
      <c r="N891" s="2106"/>
      <c r="O891" s="2106"/>
      <c r="P891" s="2106"/>
      <c r="Q891" s="2106"/>
    </row>
    <row r="892" spans="1:17" ht="71.25">
      <c r="A892" s="2859" t="str">
        <f>'Part VII-Threshold Criteria'!A41</f>
        <v>The application is Family Tenancy</v>
      </c>
      <c r="B892" s="2859"/>
      <c r="C892" s="2859"/>
      <c r="D892" s="2859"/>
      <c r="E892" s="2859"/>
      <c r="F892" s="2859"/>
      <c r="G892" s="2859"/>
      <c r="H892" s="2859"/>
      <c r="I892" s="2859"/>
      <c r="J892" s="2859"/>
      <c r="K892" s="2859"/>
      <c r="L892" s="2859"/>
      <c r="M892" s="2859"/>
      <c r="N892" s="2859"/>
      <c r="O892" s="2859"/>
      <c r="P892" s="2859"/>
      <c r="Q892" s="2859"/>
    </row>
    <row r="893" spans="1:17" ht="15">
      <c r="A893" s="2109"/>
      <c r="B893" s="2864" t="s">
        <v>1730</v>
      </c>
      <c r="C893" s="2109"/>
      <c r="D893" s="2109"/>
      <c r="E893" s="2109"/>
      <c r="F893" s="2109"/>
      <c r="G893" s="2109"/>
      <c r="H893" s="2109"/>
      <c r="I893" s="2866"/>
      <c r="J893" s="2866"/>
      <c r="K893" s="2866"/>
      <c r="L893" s="2866"/>
      <c r="M893" s="2866"/>
      <c r="N893" s="2866"/>
      <c r="O893" s="2866"/>
      <c r="P893" s="2866"/>
      <c r="Q893" s="2109"/>
    </row>
    <row r="894" spans="1:17" ht="14.25">
      <c r="A894" s="2859"/>
      <c r="B894" s="2859"/>
      <c r="C894" s="2859"/>
      <c r="D894" s="2859"/>
      <c r="E894" s="2859"/>
      <c r="F894" s="2859"/>
      <c r="G894" s="2859"/>
      <c r="H894" s="2859"/>
      <c r="I894" s="2859"/>
      <c r="J894" s="2859"/>
      <c r="K894" s="2859"/>
      <c r="L894" s="2859"/>
      <c r="M894" s="2859"/>
      <c r="N894" s="2859"/>
      <c r="O894" s="2859"/>
      <c r="P894" s="2859"/>
      <c r="Q894" s="2859"/>
    </row>
    <row r="895" spans="1:17" ht="15">
      <c r="A895" s="2109"/>
      <c r="B895" s="2866"/>
      <c r="C895" s="2866"/>
      <c r="D895" s="2866"/>
      <c r="E895" s="2866"/>
      <c r="F895" s="2866"/>
      <c r="G895" s="2866"/>
      <c r="H895" s="2866"/>
      <c r="I895" s="2866"/>
      <c r="J895" s="2866"/>
      <c r="K895" s="2866"/>
      <c r="L895" s="2866"/>
      <c r="M895" s="2866"/>
      <c r="N895" s="2866"/>
      <c r="O895" s="2866"/>
      <c r="P895" s="2866"/>
      <c r="Q895" s="2109"/>
    </row>
    <row r="896" spans="1:17" ht="15">
      <c r="A896" s="2106"/>
      <c r="B896" s="2108"/>
      <c r="C896" s="2866"/>
      <c r="D896" s="2866"/>
      <c r="E896" s="2866"/>
      <c r="F896" s="2866"/>
      <c r="G896" s="2866"/>
      <c r="H896" s="2866"/>
      <c r="I896" s="2866"/>
      <c r="J896" s="2866"/>
      <c r="K896" s="2866"/>
      <c r="L896" s="2866"/>
      <c r="M896" s="2866"/>
      <c r="N896" s="2866"/>
      <c r="O896" s="2866"/>
      <c r="P896" s="2866"/>
      <c r="Q896" s="2109"/>
    </row>
    <row r="897" spans="1:17" ht="15">
      <c r="A897" s="2862" t="s">
        <v>1666</v>
      </c>
      <c r="B897" s="2862" t="s">
        <v>2422</v>
      </c>
      <c r="C897" s="2862"/>
      <c r="D897" s="2866"/>
      <c r="E897" s="2866"/>
      <c r="F897" s="2866"/>
      <c r="G897" s="2866"/>
      <c r="H897" s="2866"/>
      <c r="I897" s="2866"/>
      <c r="J897" s="2866"/>
      <c r="K897" s="2106"/>
      <c r="L897" s="2868"/>
      <c r="M897" s="2869"/>
      <c r="N897" s="2106"/>
      <c r="O897" s="2863" t="s">
        <v>1731</v>
      </c>
      <c r="P897" s="2858"/>
      <c r="Q897" s="2858"/>
    </row>
    <row r="898" spans="1:17" ht="15">
      <c r="A898" s="2870"/>
      <c r="B898" s="2107" t="s">
        <v>6996</v>
      </c>
      <c r="C898" s="2862"/>
      <c r="D898" s="2866"/>
      <c r="E898" s="2866"/>
      <c r="F898" s="2866"/>
      <c r="G898" s="2866"/>
      <c r="H898" s="2866"/>
      <c r="I898" s="2866"/>
      <c r="J898" s="2866"/>
      <c r="K898" s="2106"/>
      <c r="L898" s="2868"/>
      <c r="M898" s="2869"/>
      <c r="N898" s="2106"/>
      <c r="O898" s="2863"/>
      <c r="P898" s="2858" t="str">
        <f>'Part VII-Threshold Criteria'!P47</f>
        <v>Yes</v>
      </c>
      <c r="Q898" s="2858"/>
    </row>
    <row r="899" spans="1:17" ht="15">
      <c r="A899" s="2106"/>
      <c r="B899" s="2867" t="s">
        <v>3239</v>
      </c>
      <c r="C899" s="2106"/>
      <c r="D899" s="2867"/>
      <c r="E899" s="2867"/>
      <c r="F899" s="2867"/>
      <c r="G899" s="2867"/>
      <c r="H899" s="2107"/>
      <c r="I899" s="2108"/>
      <c r="J899" s="2108"/>
      <c r="K899" s="2864" t="s">
        <v>1730</v>
      </c>
      <c r="L899" s="2109"/>
      <c r="M899" s="2109"/>
      <c r="N899" s="2109"/>
      <c r="O899" s="2109"/>
      <c r="P899" s="2109"/>
      <c r="Q899" s="2109"/>
    </row>
    <row r="900" spans="1:17" ht="409.5">
      <c r="A900" s="2859" t="str">
        <f>'Part VII-Threshold Criteria'!A49</f>
        <v>Columbia Residential will identify the needs of the community and provide social and recreational programming as well as on-site enrichment classes, while monitoing resident participation. Additionally, Columbia Residential is CORES certified.</v>
      </c>
      <c r="B900" s="2859"/>
      <c r="C900" s="2859"/>
      <c r="D900" s="2859"/>
      <c r="E900" s="2859"/>
      <c r="F900" s="2859"/>
      <c r="G900" s="2859"/>
      <c r="H900" s="2859"/>
      <c r="I900" s="2859"/>
      <c r="J900" s="2859"/>
      <c r="K900" s="2859"/>
      <c r="L900" s="2859"/>
      <c r="M900" s="2859"/>
      <c r="N900" s="2859"/>
      <c r="O900" s="2859"/>
      <c r="P900" s="2859"/>
      <c r="Q900" s="2859"/>
    </row>
    <row r="901" spans="1:17" ht="15">
      <c r="A901" s="2109"/>
      <c r="B901" s="2108"/>
      <c r="C901" s="2866"/>
      <c r="D901" s="2866"/>
      <c r="E901" s="2866"/>
      <c r="F901" s="2866"/>
      <c r="G901" s="2866"/>
      <c r="H901" s="2866"/>
      <c r="I901" s="2866"/>
      <c r="J901" s="2866"/>
      <c r="K901" s="2866"/>
      <c r="L901" s="2866"/>
      <c r="M901" s="2866"/>
      <c r="N901" s="2866"/>
      <c r="O901" s="2866"/>
      <c r="P901" s="2866"/>
      <c r="Q901" s="2109"/>
    </row>
    <row r="902" spans="1:17" ht="15">
      <c r="A902" s="2109"/>
      <c r="B902" s="2108"/>
      <c r="C902" s="2866"/>
      <c r="D902" s="2866"/>
      <c r="E902" s="2866"/>
      <c r="F902" s="2866"/>
      <c r="G902" s="2866"/>
      <c r="H902" s="2866"/>
      <c r="I902" s="2866"/>
      <c r="J902" s="2866"/>
      <c r="K902" s="2866"/>
      <c r="L902" s="2866"/>
      <c r="M902" s="2866"/>
      <c r="N902" s="2866"/>
      <c r="O902" s="2866"/>
      <c r="P902" s="2866"/>
      <c r="Q902" s="2109"/>
    </row>
    <row r="903" spans="1:17" ht="15">
      <c r="A903" s="2862" t="s">
        <v>1668</v>
      </c>
      <c r="B903" s="2862" t="s">
        <v>4018</v>
      </c>
      <c r="C903" s="2862"/>
      <c r="D903" s="2866"/>
      <c r="E903" s="2866"/>
      <c r="F903" s="2866"/>
      <c r="G903" s="2866"/>
      <c r="H903" s="2871"/>
      <c r="I903" s="2106"/>
      <c r="J903" s="2870"/>
      <c r="K903" s="2858"/>
      <c r="L903" s="2870"/>
      <c r="M903" s="2862"/>
      <c r="N903" s="2106"/>
      <c r="O903" s="2863" t="s">
        <v>1731</v>
      </c>
      <c r="P903" s="2858"/>
      <c r="Q903" s="2858"/>
    </row>
    <row r="904" spans="1:17" ht="15" customHeight="1">
      <c r="A904" s="2870"/>
      <c r="B904" s="2859" t="s">
        <v>2264</v>
      </c>
      <c r="C904" s="2859"/>
      <c r="D904" s="2859"/>
      <c r="E904" s="2859"/>
      <c r="F904" s="2859"/>
      <c r="G904" s="2859"/>
      <c r="H904" s="2859"/>
      <c r="I904" s="2861" t="str">
        <f>'Part VII-Threshold Criteria'!I53</f>
        <v>Real Property Research Group</v>
      </c>
      <c r="J904" s="2861"/>
      <c r="K904" s="2861"/>
      <c r="L904" s="2861"/>
      <c r="M904" s="2861"/>
      <c r="N904" s="2861"/>
      <c r="O904" s="2861"/>
      <c r="P904" s="2861"/>
      <c r="Q904" s="2861"/>
    </row>
    <row r="905" spans="1:17" ht="15">
      <c r="A905" s="2870"/>
      <c r="B905" s="2106" t="s">
        <v>6776</v>
      </c>
      <c r="C905" s="2106"/>
      <c r="D905" s="2859"/>
      <c r="E905" s="2859"/>
      <c r="F905" s="2859"/>
      <c r="G905" s="2106"/>
      <c r="H905" s="2106"/>
      <c r="I905" s="2859">
        <f>'Part VII-Threshold Criteria'!I54</f>
        <v>98.2</v>
      </c>
      <c r="J905" s="2859"/>
      <c r="K905" s="2859"/>
      <c r="L905" s="2872"/>
      <c r="M905" s="2873"/>
      <c r="N905" s="2873"/>
      <c r="O905" s="2873"/>
      <c r="P905" s="2873"/>
      <c r="Q905" s="2109"/>
    </row>
    <row r="906" spans="1:17" ht="15">
      <c r="A906" s="2870"/>
      <c r="B906" s="2106" t="s">
        <v>6777</v>
      </c>
      <c r="C906" s="2106"/>
      <c r="D906" s="2859"/>
      <c r="E906" s="2859"/>
      <c r="F906" s="2859"/>
      <c r="G906" s="2106"/>
      <c r="H906" s="2872" t="s">
        <v>6778</v>
      </c>
      <c r="I906" s="2859">
        <f>'Part VII-Threshold Criteria'!I55</f>
        <v>5.3</v>
      </c>
      <c r="J906" s="2859"/>
      <c r="K906" s="2859"/>
      <c r="L906" s="2873"/>
      <c r="M906" s="2874" t="s">
        <v>6779</v>
      </c>
      <c r="N906" s="2859">
        <f>'Part VII-Threshold Criteria'!N55</f>
        <v>0.2</v>
      </c>
      <c r="O906" s="2859"/>
      <c r="P906" s="2106"/>
      <c r="Q906" s="2106"/>
    </row>
    <row r="907" spans="1:17" ht="15">
      <c r="A907" s="2106"/>
      <c r="B907" s="2867" t="s">
        <v>3239</v>
      </c>
      <c r="C907" s="2106"/>
      <c r="D907" s="2867"/>
      <c r="E907" s="2867"/>
      <c r="F907" s="2867"/>
      <c r="G907" s="2867"/>
      <c r="H907" s="2107"/>
      <c r="I907" s="2108"/>
      <c r="J907" s="2108"/>
      <c r="K907" s="2108"/>
      <c r="L907" s="2109"/>
      <c r="M907" s="2109"/>
      <c r="N907" s="2109"/>
      <c r="O907" s="2109"/>
      <c r="P907" s="2109"/>
      <c r="Q907" s="2109"/>
    </row>
    <row r="908" spans="1:17" ht="409.5">
      <c r="A908" s="2859" t="str">
        <f>'Part VII-Threshold Criteria'!A57</f>
        <v>The overall market has a very healthy occupancy of 98.2% and an overall project capture rate of 1.3% which is below DCA standards. All surveyed LIHTC properties within the market currently have waiting lists, and no projects have been awarded in Unincorporated Clayton County for over 15 years.</v>
      </c>
      <c r="B908" s="2859"/>
      <c r="C908" s="2859"/>
      <c r="D908" s="2859"/>
      <c r="E908" s="2859"/>
      <c r="F908" s="2859"/>
      <c r="G908" s="2859"/>
      <c r="H908" s="2859"/>
      <c r="I908" s="2859"/>
      <c r="J908" s="2859"/>
      <c r="K908" s="2859"/>
      <c r="L908" s="2859"/>
      <c r="M908" s="2859"/>
      <c r="N908" s="2859"/>
      <c r="O908" s="2859"/>
      <c r="P908" s="2859"/>
      <c r="Q908" s="2859"/>
    </row>
    <row r="909" spans="1:17" ht="14.25">
      <c r="A909" s="2106"/>
      <c r="B909" s="2864" t="s">
        <v>1730</v>
      </c>
      <c r="C909" s="2865"/>
      <c r="D909" s="2866"/>
      <c r="E909" s="2866"/>
      <c r="F909" s="2866"/>
      <c r="G909" s="2866"/>
      <c r="H909" s="2866"/>
      <c r="I909" s="2866"/>
      <c r="J909" s="2866"/>
      <c r="K909" s="2866"/>
      <c r="L909" s="2866"/>
      <c r="M909" s="2866"/>
      <c r="N909" s="2866"/>
      <c r="O909" s="2866"/>
      <c r="P909" s="2866"/>
      <c r="Q909" s="2866"/>
    </row>
    <row r="910" spans="1:17" ht="14.25">
      <c r="A910" s="2859"/>
      <c r="B910" s="2859"/>
      <c r="C910" s="2859"/>
      <c r="D910" s="2859"/>
      <c r="E910" s="2859"/>
      <c r="F910" s="2859"/>
      <c r="G910" s="2859"/>
      <c r="H910" s="2859"/>
      <c r="I910" s="2859"/>
      <c r="J910" s="2859"/>
      <c r="K910" s="2859"/>
      <c r="L910" s="2859"/>
      <c r="M910" s="2859"/>
      <c r="N910" s="2859"/>
      <c r="O910" s="2859"/>
      <c r="P910" s="2859"/>
      <c r="Q910" s="2859"/>
    </row>
    <row r="911" spans="1:17" ht="14.25">
      <c r="A911" s="2866"/>
      <c r="B911" s="2866"/>
      <c r="C911" s="2866"/>
      <c r="D911" s="2866"/>
      <c r="E911" s="2866"/>
      <c r="F911" s="2866"/>
      <c r="G911" s="2866"/>
      <c r="H911" s="2866"/>
      <c r="I911" s="2866"/>
      <c r="J911" s="2866"/>
      <c r="K911" s="2866"/>
      <c r="L911" s="2866"/>
      <c r="M911" s="2866"/>
      <c r="N911" s="2866"/>
      <c r="O911" s="2866"/>
      <c r="P911" s="2866"/>
      <c r="Q911" s="2866"/>
    </row>
    <row r="912" spans="1:17" ht="14.25">
      <c r="A912" s="2866"/>
      <c r="B912" s="2866"/>
      <c r="C912" s="2866"/>
      <c r="D912" s="2866"/>
      <c r="E912" s="2866"/>
      <c r="F912" s="2866"/>
      <c r="G912" s="2866"/>
      <c r="H912" s="2866"/>
      <c r="I912" s="2866"/>
      <c r="J912" s="2866"/>
      <c r="K912" s="2866"/>
      <c r="L912" s="2866"/>
      <c r="M912" s="2866"/>
      <c r="N912" s="2866"/>
      <c r="O912" s="2866"/>
      <c r="P912" s="2866"/>
      <c r="Q912" s="2866"/>
    </row>
    <row r="913" spans="1:17" ht="15">
      <c r="A913" s="2862" t="s">
        <v>496</v>
      </c>
      <c r="B913" s="2862" t="s">
        <v>2423</v>
      </c>
      <c r="C913" s="2862"/>
      <c r="D913" s="2866"/>
      <c r="E913" s="2866"/>
      <c r="F913" s="2866"/>
      <c r="G913" s="2866"/>
      <c r="H913" s="2866"/>
      <c r="I913" s="2866"/>
      <c r="J913" s="2866"/>
      <c r="K913" s="2866"/>
      <c r="L913" s="2866"/>
      <c r="M913" s="2866"/>
      <c r="N913" s="2106"/>
      <c r="O913" s="2863" t="s">
        <v>1731</v>
      </c>
      <c r="P913" s="2858"/>
      <c r="Q913" s="2858"/>
    </row>
    <row r="914" spans="1:17" ht="15">
      <c r="A914" s="2870"/>
      <c r="B914" s="2106" t="s">
        <v>6780</v>
      </c>
      <c r="C914" s="2106"/>
      <c r="D914" s="2106"/>
      <c r="E914" s="2106"/>
      <c r="F914" s="2106"/>
      <c r="G914" s="2106"/>
      <c r="H914" s="2106"/>
      <c r="I914" s="2859"/>
      <c r="J914" s="2859" t="str">
        <f>'Part VII-Threshold Criteria'!J63</f>
        <v>NA</v>
      </c>
      <c r="K914" s="2859"/>
      <c r="L914" s="2859"/>
      <c r="M914" s="2859"/>
      <c r="N914" s="2859"/>
      <c r="O914" s="2859"/>
      <c r="P914" s="2859"/>
      <c r="Q914" s="2859"/>
    </row>
    <row r="915" spans="1:17" ht="15">
      <c r="A915" s="2870"/>
      <c r="B915" s="2106" t="s">
        <v>3947</v>
      </c>
      <c r="C915" s="2106"/>
      <c r="D915" s="2106"/>
      <c r="E915" s="2106"/>
      <c r="F915" s="2106"/>
      <c r="G915" s="2106"/>
      <c r="H915" s="2106"/>
      <c r="I915" s="2106"/>
      <c r="J915" s="2106"/>
      <c r="K915" s="2106"/>
      <c r="L915" s="2106"/>
      <c r="M915" s="2106"/>
      <c r="N915" s="2106"/>
      <c r="O915" s="2872"/>
      <c r="P915" s="2109" t="str">
        <f>'Part VII-Threshold Criteria'!P64</f>
        <v>No</v>
      </c>
      <c r="Q915" s="2109"/>
    </row>
    <row r="916" spans="1:17" ht="15" customHeight="1">
      <c r="A916" s="2106"/>
      <c r="B916" s="2862"/>
      <c r="C916" s="2859" t="s">
        <v>6781</v>
      </c>
      <c r="D916" s="2859"/>
      <c r="E916" s="2859"/>
      <c r="F916" s="2859"/>
      <c r="G916" s="2859"/>
      <c r="H916" s="2859"/>
      <c r="I916" s="2859"/>
      <c r="J916" s="2859"/>
      <c r="K916" s="2859"/>
      <c r="L916" s="2859"/>
      <c r="M916" s="2859"/>
      <c r="N916" s="2859"/>
      <c r="O916" s="2859"/>
      <c r="P916" s="2109" t="str">
        <f>'Part VII-Threshold Criteria'!P65</f>
        <v>No</v>
      </c>
      <c r="Q916" s="2109"/>
    </row>
    <row r="917" spans="1:17" ht="15" customHeight="1">
      <c r="A917" s="2870"/>
      <c r="B917" s="2862"/>
      <c r="C917" s="2859" t="s">
        <v>6782</v>
      </c>
      <c r="D917" s="2859"/>
      <c r="E917" s="2859"/>
      <c r="F917" s="2859"/>
      <c r="G917" s="2859"/>
      <c r="H917" s="2859"/>
      <c r="I917" s="2859"/>
      <c r="J917" s="2859"/>
      <c r="K917" s="2859"/>
      <c r="L917" s="2859"/>
      <c r="M917" s="2859"/>
      <c r="N917" s="2859"/>
      <c r="O917" s="2859"/>
      <c r="P917" s="2109">
        <f>'Part VII-Threshold Criteria'!P66</f>
        <v>0</v>
      </c>
      <c r="Q917" s="2109"/>
    </row>
    <row r="918" spans="1:17" ht="15">
      <c r="A918" s="2106"/>
      <c r="B918" s="2867" t="s">
        <v>6773</v>
      </c>
      <c r="C918" s="2106"/>
      <c r="D918" s="2867"/>
      <c r="E918" s="2867"/>
      <c r="F918" s="2867"/>
      <c r="G918" s="2867"/>
      <c r="H918" s="2107"/>
      <c r="I918" s="2108"/>
      <c r="J918" s="2108"/>
      <c r="K918" s="2108"/>
      <c r="L918" s="2109"/>
      <c r="M918" s="2109"/>
      <c r="N918" s="2109"/>
      <c r="O918" s="2109"/>
      <c r="P918" s="2109"/>
      <c r="Q918" s="2109"/>
    </row>
    <row r="919" spans="1:17" ht="270.75">
      <c r="A919" s="2859" t="str">
        <f>'Part VII-Threshold Criteria'!A68</f>
        <v>There is no identity of interest between the buyer and seller, therefore no appraisal was required for the 9% application.</v>
      </c>
      <c r="B919" s="2859"/>
      <c r="C919" s="2859"/>
      <c r="D919" s="2859"/>
      <c r="E919" s="2859"/>
      <c r="F919" s="2859"/>
      <c r="G919" s="2859"/>
      <c r="H919" s="2859"/>
      <c r="I919" s="2859"/>
      <c r="J919" s="2859"/>
      <c r="K919" s="2859"/>
      <c r="L919" s="2859"/>
      <c r="M919" s="2859"/>
      <c r="N919" s="2859"/>
      <c r="O919" s="2859"/>
      <c r="P919" s="2859"/>
      <c r="Q919" s="2859"/>
    </row>
    <row r="920" spans="1:17" ht="14.25">
      <c r="A920" s="2106"/>
      <c r="B920" s="2864" t="s">
        <v>1730</v>
      </c>
      <c r="C920" s="2865"/>
      <c r="D920" s="2866"/>
      <c r="E920" s="2866"/>
      <c r="F920" s="2866"/>
      <c r="G920" s="2866"/>
      <c r="H920" s="2866"/>
      <c r="I920" s="2866"/>
      <c r="J920" s="2866"/>
      <c r="K920" s="2866"/>
      <c r="L920" s="2866"/>
      <c r="M920" s="2866"/>
      <c r="N920" s="2866"/>
      <c r="O920" s="2866"/>
      <c r="P920" s="2866"/>
      <c r="Q920" s="2866"/>
    </row>
    <row r="921" spans="1:17" ht="14.25">
      <c r="A921" s="2859"/>
      <c r="B921" s="2859"/>
      <c r="C921" s="2859"/>
      <c r="D921" s="2859"/>
      <c r="E921" s="2859"/>
      <c r="F921" s="2859"/>
      <c r="G921" s="2859"/>
      <c r="H921" s="2859"/>
      <c r="I921" s="2859"/>
      <c r="J921" s="2859"/>
      <c r="K921" s="2859"/>
      <c r="L921" s="2859"/>
      <c r="M921" s="2859"/>
      <c r="N921" s="2859"/>
      <c r="O921" s="2859"/>
      <c r="P921" s="2859"/>
      <c r="Q921" s="2859"/>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2" t="s">
        <v>720</v>
      </c>
      <c r="B924" s="2862" t="s">
        <v>2424</v>
      </c>
      <c r="C924" s="2107"/>
      <c r="D924" s="2866"/>
      <c r="E924" s="2866"/>
      <c r="F924" s="2866"/>
      <c r="G924" s="2866"/>
      <c r="H924" s="2866"/>
      <c r="I924" s="2866"/>
      <c r="J924" s="2866"/>
      <c r="K924" s="2866"/>
      <c r="L924" s="2866"/>
      <c r="M924" s="2866"/>
      <c r="N924" s="2106"/>
      <c r="O924" s="2863" t="s">
        <v>1731</v>
      </c>
      <c r="P924" s="2858"/>
      <c r="Q924" s="2858"/>
    </row>
    <row r="925" spans="1:17" ht="15" customHeight="1">
      <c r="A925" s="2870"/>
      <c r="B925" s="2859" t="s">
        <v>6783</v>
      </c>
      <c r="C925" s="2859"/>
      <c r="D925" s="2859"/>
      <c r="E925" s="2859"/>
      <c r="F925" s="2859"/>
      <c r="G925" s="2859"/>
      <c r="H925" s="2859"/>
      <c r="I925" s="2859"/>
      <c r="J925" s="2859"/>
      <c r="K925" s="2859"/>
      <c r="L925" s="2875" t="str">
        <f>'Part VII-Threshold Criteria'!L74</f>
        <v>Terracon</v>
      </c>
      <c r="M925" s="2875"/>
      <c r="N925" s="2875"/>
      <c r="O925" s="2875"/>
      <c r="P925" s="2875"/>
      <c r="Q925" s="2875"/>
    </row>
    <row r="926" spans="1:17" ht="15">
      <c r="A926" s="2106"/>
      <c r="B926" s="2106" t="s">
        <v>6784</v>
      </c>
      <c r="C926" s="2106"/>
      <c r="D926" s="2106"/>
      <c r="E926" s="2106"/>
      <c r="F926" s="2106"/>
      <c r="G926" s="2106"/>
      <c r="H926" s="2106"/>
      <c r="I926" s="2106"/>
      <c r="J926" s="2106"/>
      <c r="K926" s="2106"/>
      <c r="L926" s="2106"/>
      <c r="M926" s="2106"/>
      <c r="N926" s="2106"/>
      <c r="O926" s="2872"/>
      <c r="P926" s="2109" t="str">
        <f>'Part VII-Threshold Criteria'!P75</f>
        <v>No</v>
      </c>
      <c r="Q926" s="2109"/>
    </row>
    <row r="927" spans="1:17" ht="15">
      <c r="A927" s="2870"/>
      <c r="B927" s="2106" t="s">
        <v>6630</v>
      </c>
      <c r="C927" s="2106"/>
      <c r="D927" s="2859"/>
      <c r="E927" s="2859"/>
      <c r="F927" s="2859"/>
      <c r="G927" s="2859"/>
      <c r="H927" s="2859"/>
      <c r="I927" s="2106"/>
      <c r="J927" s="2106"/>
      <c r="K927" s="2859"/>
      <c r="L927" s="2866"/>
      <c r="M927" s="2106"/>
      <c r="N927" s="2106"/>
      <c r="O927" s="2872"/>
      <c r="P927" s="2109" t="str">
        <f>'Part VII-Threshold Criteria'!P76</f>
        <v>No</v>
      </c>
      <c r="Q927" s="2109"/>
    </row>
    <row r="928" spans="1:17" ht="15">
      <c r="A928" s="2870"/>
      <c r="B928" s="2106" t="s">
        <v>6785</v>
      </c>
      <c r="C928" s="2106"/>
      <c r="D928" s="2859"/>
      <c r="E928" s="2859"/>
      <c r="F928" s="2859"/>
      <c r="G928" s="2859"/>
      <c r="H928" s="2859"/>
      <c r="I928" s="2106"/>
      <c r="J928" s="2106"/>
      <c r="K928" s="2859"/>
      <c r="L928" s="2866"/>
      <c r="M928" s="2866"/>
      <c r="N928" s="2866"/>
      <c r="O928" s="2872"/>
      <c r="P928" s="2106"/>
      <c r="Q928" s="2106"/>
    </row>
    <row r="929" spans="1:17" ht="15">
      <c r="A929" s="2870"/>
      <c r="B929" s="2862"/>
      <c r="C929" s="2106" t="s">
        <v>6786</v>
      </c>
      <c r="D929" s="2106"/>
      <c r="E929" s="2859"/>
      <c r="F929" s="2859"/>
      <c r="G929" s="2859"/>
      <c r="H929" s="2859"/>
      <c r="I929" s="2106"/>
      <c r="J929" s="2106"/>
      <c r="K929" s="2859"/>
      <c r="L929" s="2866"/>
      <c r="M929" s="2866"/>
      <c r="N929" s="2106"/>
      <c r="O929" s="2872"/>
      <c r="P929" s="2109" t="str">
        <f>'Part VII-Threshold Criteria'!P78</f>
        <v>No</v>
      </c>
      <c r="Q929" s="2109"/>
    </row>
    <row r="930" spans="1:17" ht="15">
      <c r="A930" s="2870"/>
      <c r="B930" s="2862"/>
      <c r="C930" s="2106" t="s">
        <v>6787</v>
      </c>
      <c r="D930" s="2106"/>
      <c r="E930" s="2859"/>
      <c r="F930" s="2859"/>
      <c r="G930" s="2859"/>
      <c r="H930" s="2106"/>
      <c r="I930" s="2106"/>
      <c r="J930" s="2106"/>
      <c r="K930" s="2859"/>
      <c r="L930" s="2866"/>
      <c r="M930" s="2866"/>
      <c r="N930" s="2106"/>
      <c r="O930" s="2872"/>
      <c r="P930" s="2109" t="str">
        <f>'Part VII-Threshold Criteria'!P79</f>
        <v>No</v>
      </c>
      <c r="Q930" s="2109"/>
    </row>
    <row r="931" spans="1:17" ht="15">
      <c r="A931" s="2876"/>
      <c r="B931" s="2877"/>
      <c r="C931" s="2877"/>
      <c r="D931" s="2860" t="s">
        <v>6788</v>
      </c>
      <c r="E931" s="2878"/>
      <c r="F931" s="2878"/>
      <c r="G931" s="2860"/>
      <c r="H931" s="2860"/>
      <c r="I931" s="2879"/>
      <c r="J931" s="2880"/>
      <c r="K931" s="2861"/>
      <c r="L931" s="2881"/>
      <c r="M931" s="2881"/>
      <c r="N931" s="2880"/>
      <c r="O931" s="2882"/>
      <c r="P931" s="2109">
        <f>'Part VII-Threshold Criteria'!P80</f>
        <v>0</v>
      </c>
      <c r="Q931" s="2883"/>
    </row>
    <row r="932" spans="1:17" ht="15">
      <c r="A932" s="2870"/>
      <c r="B932" s="2862"/>
      <c r="C932" s="2106" t="s">
        <v>6789</v>
      </c>
      <c r="D932" s="2106"/>
      <c r="E932" s="2859"/>
      <c r="F932" s="2859"/>
      <c r="G932" s="2859"/>
      <c r="H932" s="2106"/>
      <c r="I932" s="2106"/>
      <c r="J932" s="2106"/>
      <c r="K932" s="2859"/>
      <c r="L932" s="2866"/>
      <c r="M932" s="2866"/>
      <c r="N932" s="2106"/>
      <c r="O932" s="2872"/>
      <c r="P932" s="2109" t="str">
        <f>'Part VII-Threshold Criteria'!P81</f>
        <v>Yes</v>
      </c>
      <c r="Q932" s="2109"/>
    </row>
    <row r="933" spans="1:17" ht="15" customHeight="1">
      <c r="A933" s="2870"/>
      <c r="B933" s="2859" t="s">
        <v>6997</v>
      </c>
      <c r="C933" s="2859"/>
      <c r="D933" s="2859"/>
      <c r="E933" s="2859"/>
      <c r="F933" s="2859"/>
      <c r="G933" s="2859"/>
      <c r="H933" s="2859"/>
      <c r="I933" s="2859"/>
      <c r="J933" s="2859"/>
      <c r="K933" s="2859"/>
      <c r="L933" s="2859"/>
      <c r="M933" s="2859"/>
      <c r="N933" s="2859"/>
      <c r="O933" s="2859"/>
      <c r="P933" s="2859"/>
      <c r="Q933" s="2859"/>
    </row>
    <row r="934" spans="1:17" ht="409.5">
      <c r="A934" s="2106"/>
      <c r="B934" s="2859" t="str">
        <f>'Part VII-Threshold Criteria'!B83</f>
        <v xml:space="preserve">Wetlands: The information reviewed as part of this assessment did not indicate any wetlands on the subject property. The site reconnaissance identified a potential area of wetlands, which was subsequently delineated, with 0.02 acres of wetlands identified in the northwest corner of the site. See section 5.1 for details. 
State Waters: The information reviewed as part of this assessment did not indicate any state waters on the subject property. See section 5.2 for details. 
Floodplain/Floodways: The information reviewed as part of this assessment indicated that the subject property is not located within a 100 or 500 year floodplain. See section 5.3 for details. 
Endangered Species: Based on the information reviewed as part of this assessment the proposed project should have no effect on the federal or state listed species. See section 5.4 for details. 
Noise: Based on Terracon’s review of potential noise sources and calculations performed for the subject property following HUD’s noise guidelines, noise issues are not considered to be a concern at the subject property. See section 5.5 for details. 
Radon: According to the radon map of Georgia found at EPAs website, the subject property is located within radon zone 2 (medium potential) of Georgia. Per HUD’s Multifamily Accelerated Processing (MAP) Guide, new construction should utilize radon resistant construction techniques. See section 5.6 for details. 
Asbestos containing materials: Deemed “not applicable” due to undeveloped nature of the property. See section 5.7 for details. 
Lead (lead-based paint, lead in water, lead in soil): Lead-based paint and lead in water deemed “not applicable” due to undeveloped nature of the property. Based on the construction date of o a historic residential structure that was previously located on the subject property, lead in soil is an environmental concern. Laboratory analysis determined that lead is present in the soil; however, the observed concentrations were below the applicable Georgia EPD release notification threshold. No additional work is currently deemed necessary to address this concern. See section 5.8 for details. 
Water Leaks/Mold/Fungi/Microbial Growth: Deemed “not applicable” due to undeveloped nature of the property. See section 5.9 for details.
Vapor Intrusion: The results of the vapor encroachment screening indicated that vapor encroachment condition does not likely exist for the subject property. See section 5.10 for details of the vapor encroachment screening. 
Polychlorinated Biphenyls (PCBs): No potentially PCB containing equipment was observed on or adjacent to the properties during the site reconnaissance, nor was any such equipment determined to be historically located on the subject property. See section 5.11 for details. 
Historic Preservation: As part of this Phase I ESA, Terracon contracted with a historic preservation consultant, to prepare a “Cultural Resources Records Review and Reconnaissance” for the subject property. The report indicated there is one previously recorded archaeological site within the physical Area of Potential Effect (APE); this site is a precontact lithic scatter recommended not eligible for listing </v>
      </c>
      <c r="C934" s="2859"/>
      <c r="D934" s="2859"/>
      <c r="E934" s="2859"/>
      <c r="F934" s="2859"/>
      <c r="G934" s="2859"/>
      <c r="H934" s="2859"/>
      <c r="I934" s="2859"/>
      <c r="J934" s="2859"/>
      <c r="K934" s="2859"/>
      <c r="L934" s="2859"/>
      <c r="M934" s="2859"/>
      <c r="N934" s="2859"/>
      <c r="O934" s="2859"/>
      <c r="P934" s="2859"/>
      <c r="Q934" s="2859"/>
    </row>
    <row r="935" spans="1:17" ht="15">
      <c r="A935" s="2106"/>
      <c r="B935" s="2867" t="s">
        <v>3239</v>
      </c>
      <c r="C935" s="2106"/>
      <c r="D935" s="2867"/>
      <c r="E935" s="2867"/>
      <c r="F935" s="2867"/>
      <c r="G935" s="2867"/>
      <c r="H935" s="2107"/>
      <c r="I935" s="2108"/>
      <c r="J935" s="2108"/>
      <c r="K935" s="2108"/>
      <c r="L935" s="2109"/>
      <c r="M935" s="2109"/>
      <c r="N935" s="2109"/>
      <c r="O935" s="2109"/>
      <c r="P935" s="2109"/>
      <c r="Q935" s="2109"/>
    </row>
    <row r="936" spans="1:17" ht="409.5">
      <c r="A936" s="2859" t="str">
        <f>'Part VII-Threshold Criteria'!A85</f>
        <v>The Evniornmental Professional did not find anything on the site that would prohibit the development of multifamily apartments. Please note that the EP used ASTM 1527 -21, which is the most updated standards for this report. Project will have post radon testing done when construction is complete.</v>
      </c>
      <c r="B936" s="2859"/>
      <c r="C936" s="2859"/>
      <c r="D936" s="2859"/>
      <c r="E936" s="2859"/>
      <c r="F936" s="2859"/>
      <c r="G936" s="2859"/>
      <c r="H936" s="2859"/>
      <c r="I936" s="2859"/>
      <c r="J936" s="2859"/>
      <c r="K936" s="2859"/>
      <c r="L936" s="2859"/>
      <c r="M936" s="2859"/>
      <c r="N936" s="2859"/>
      <c r="O936" s="2859"/>
      <c r="P936" s="2859"/>
      <c r="Q936" s="2859"/>
    </row>
    <row r="937" spans="1:17" ht="14.25">
      <c r="A937" s="2106"/>
      <c r="B937" s="2864" t="s">
        <v>1730</v>
      </c>
      <c r="C937" s="2865"/>
      <c r="D937" s="2866"/>
      <c r="E937" s="2866"/>
      <c r="F937" s="2866"/>
      <c r="G937" s="2866"/>
      <c r="H937" s="2866"/>
      <c r="I937" s="2866"/>
      <c r="J937" s="2866"/>
      <c r="K937" s="2866"/>
      <c r="L937" s="2866"/>
      <c r="M937" s="2866"/>
      <c r="N937" s="2866"/>
      <c r="O937" s="2866"/>
      <c r="P937" s="2866"/>
      <c r="Q937" s="2866"/>
    </row>
    <row r="938" spans="1:17" ht="14.25">
      <c r="A938" s="2859"/>
      <c r="B938" s="2859"/>
      <c r="C938" s="2859"/>
      <c r="D938" s="2859"/>
      <c r="E938" s="2859"/>
      <c r="F938" s="2859"/>
      <c r="G938" s="2859"/>
      <c r="H938" s="2859"/>
      <c r="I938" s="2859"/>
      <c r="J938" s="2859"/>
      <c r="K938" s="2859"/>
      <c r="L938" s="2859"/>
      <c r="M938" s="2859"/>
      <c r="N938" s="2859"/>
      <c r="O938" s="2859"/>
      <c r="P938" s="2859"/>
      <c r="Q938" s="2859"/>
    </row>
    <row r="939" spans="1:17" ht="15">
      <c r="A939" s="2109"/>
      <c r="B939" s="2108"/>
      <c r="C939" s="2866"/>
      <c r="D939" s="2866"/>
      <c r="E939" s="2866"/>
      <c r="F939" s="2866"/>
      <c r="G939" s="2866"/>
      <c r="H939" s="2866"/>
      <c r="I939" s="2866"/>
      <c r="J939" s="2866"/>
      <c r="K939" s="2866"/>
      <c r="L939" s="2866"/>
      <c r="M939" s="2866"/>
      <c r="N939" s="2866"/>
      <c r="O939" s="2866"/>
      <c r="P939" s="2866"/>
      <c r="Q939" s="2109"/>
    </row>
    <row r="940" spans="1:17" ht="15">
      <c r="A940" s="2109"/>
      <c r="B940" s="2108"/>
      <c r="C940" s="2866"/>
      <c r="D940" s="2866"/>
      <c r="E940" s="2866"/>
      <c r="F940" s="2866"/>
      <c r="G940" s="2866"/>
      <c r="H940" s="2866"/>
      <c r="I940" s="2866"/>
      <c r="J940" s="2866"/>
      <c r="K940" s="2866"/>
      <c r="L940" s="2866"/>
      <c r="M940" s="2866"/>
      <c r="N940" s="2866"/>
      <c r="O940" s="2866"/>
      <c r="P940" s="2866"/>
      <c r="Q940" s="2109"/>
    </row>
    <row r="941" spans="1:17" ht="15">
      <c r="A941" s="2862" t="s">
        <v>280</v>
      </c>
      <c r="B941" s="2862" t="s">
        <v>2425</v>
      </c>
      <c r="C941" s="2862"/>
      <c r="D941" s="2866"/>
      <c r="E941" s="2866"/>
      <c r="F941" s="2866"/>
      <c r="G941" s="2866"/>
      <c r="H941" s="2866"/>
      <c r="I941" s="2866"/>
      <c r="J941" s="2866"/>
      <c r="K941" s="2866"/>
      <c r="L941" s="2106"/>
      <c r="M941" s="2106"/>
      <c r="N941" s="2106"/>
      <c r="O941" s="2863" t="s">
        <v>1731</v>
      </c>
      <c r="P941" s="2858"/>
      <c r="Q941" s="2858"/>
    </row>
    <row r="942" spans="1:17" ht="15" customHeight="1">
      <c r="A942" s="2870"/>
      <c r="B942" s="2106" t="s">
        <v>143</v>
      </c>
      <c r="C942" s="2106"/>
      <c r="D942" s="2106"/>
      <c r="E942" s="2106"/>
      <c r="F942" s="2884" t="str">
        <f>IF(L942="Ground lease/Option","Ground lease/Option:","")</f>
        <v/>
      </c>
      <c r="G942" s="2106"/>
      <c r="H942" s="2885" t="str">
        <f>IF(L942="Ground lease/Option","Annual Pymt:","")</f>
        <v/>
      </c>
      <c r="I942" s="2886" t="str">
        <f>IF(M982="Ground lease/Option",'Part V-Revenues &amp; Expenses'!$K$251,"")</f>
        <v/>
      </c>
      <c r="J942" s="2887" t="str">
        <f>IF(L942="Ground lease/Option","Term (yrs):","")</f>
        <v/>
      </c>
      <c r="K942" s="2888" t="str">
        <f>IF(M982="Ground lease/Option",'Part V-Revenues &amp; Expenses'!$N$251,"")</f>
        <v/>
      </c>
      <c r="L942" s="2889" t="str">
        <f>'Part VII-Threshold Criteria'!L91</f>
        <v>Purchase Contract</v>
      </c>
      <c r="M942" s="2889"/>
      <c r="N942" s="2889"/>
      <c r="O942" s="2858" t="s">
        <v>1646</v>
      </c>
      <c r="P942" s="2858"/>
      <c r="Q942" s="2858"/>
    </row>
    <row r="943" spans="1:17" ht="42.75">
      <c r="A943" s="2870"/>
      <c r="B943" s="2106" t="s">
        <v>636</v>
      </c>
      <c r="C943" s="2106"/>
      <c r="D943" s="2106"/>
      <c r="E943" s="2106"/>
      <c r="F943" s="2106"/>
      <c r="G943" s="2859" t="str">
        <f>'Part VII-Threshold Criteria'!G92</f>
        <v>Hannah Assets LLC</v>
      </c>
      <c r="H943" s="2859"/>
      <c r="I943" s="2859"/>
      <c r="J943" s="2859"/>
      <c r="K943" s="2859"/>
      <c r="L943" s="2859"/>
      <c r="M943" s="2859"/>
      <c r="N943" s="2859"/>
      <c r="O943" s="2859"/>
      <c r="P943" s="2859"/>
      <c r="Q943" s="2859"/>
    </row>
    <row r="944" spans="1:17" ht="15">
      <c r="A944" s="2106"/>
      <c r="B944" s="2867" t="s">
        <v>3239</v>
      </c>
      <c r="C944" s="2106"/>
      <c r="D944" s="2867"/>
      <c r="E944" s="2867"/>
      <c r="F944" s="2867"/>
      <c r="G944" s="2867"/>
      <c r="H944" s="2107"/>
      <c r="I944" s="2108"/>
      <c r="J944" s="2108"/>
      <c r="K944" s="2108"/>
      <c r="L944" s="2109"/>
      <c r="M944" s="2109"/>
      <c r="N944" s="2109"/>
      <c r="O944" s="2109"/>
      <c r="P944" s="2109"/>
      <c r="Q944" s="2109"/>
    </row>
    <row r="945" spans="1:17" ht="409.5">
      <c r="A945" s="2859" t="str">
        <f>'Part VII-Threshold Criteria'!A94</f>
        <v>Current owner acquired site through the Quiet Title process. Copy of the Final Order showing site control in favor of Hannah Asses, LLC and a confirmation letter from our legal consultant are included in the Site Control section of this application. Site control is through 5/31/24 with three (3) 90-day extensions. Grove Creek Ventures, LLC has assigned this P&amp;S agreement to Helix Family I, LP. This assignment agreement in included in the "Site Control" folder of this application.</v>
      </c>
      <c r="B945" s="2859"/>
      <c r="C945" s="2859"/>
      <c r="D945" s="2859"/>
      <c r="E945" s="2859"/>
      <c r="F945" s="2859"/>
      <c r="G945" s="2859"/>
      <c r="H945" s="2859"/>
      <c r="I945" s="2859"/>
      <c r="J945" s="2859"/>
      <c r="K945" s="2859"/>
      <c r="L945" s="2859"/>
      <c r="M945" s="2859"/>
      <c r="N945" s="2859"/>
      <c r="O945" s="2859"/>
      <c r="P945" s="2859"/>
      <c r="Q945" s="2859"/>
    </row>
    <row r="946" spans="1:17" ht="14.25">
      <c r="A946" s="2106"/>
      <c r="B946" s="2864" t="s">
        <v>1730</v>
      </c>
      <c r="C946" s="2865"/>
      <c r="D946" s="2866"/>
      <c r="E946" s="2866"/>
      <c r="F946" s="2866"/>
      <c r="G946" s="2866"/>
      <c r="H946" s="2866"/>
      <c r="I946" s="2866"/>
      <c r="J946" s="2866"/>
      <c r="K946" s="2866"/>
      <c r="L946" s="2866"/>
      <c r="M946" s="2866"/>
      <c r="N946" s="2866"/>
      <c r="O946" s="2866"/>
      <c r="P946" s="2866"/>
      <c r="Q946" s="2866"/>
    </row>
    <row r="947" spans="1:17" ht="14.25">
      <c r="A947" s="2859"/>
      <c r="B947" s="2859"/>
      <c r="C947" s="2859"/>
      <c r="D947" s="2859"/>
      <c r="E947" s="2859"/>
      <c r="F947" s="2859"/>
      <c r="G947" s="2859"/>
      <c r="H947" s="2859"/>
      <c r="I947" s="2859"/>
      <c r="J947" s="2859"/>
      <c r="K947" s="2859"/>
      <c r="L947" s="2859"/>
      <c r="M947" s="2859"/>
      <c r="N947" s="2859"/>
      <c r="O947" s="2859"/>
      <c r="P947" s="2859"/>
      <c r="Q947" s="2859"/>
    </row>
    <row r="948" spans="1:17" ht="15">
      <c r="A948" s="2109"/>
      <c r="B948" s="2108"/>
      <c r="C948" s="2866"/>
      <c r="D948" s="2866"/>
      <c r="E948" s="2866"/>
      <c r="F948" s="2866"/>
      <c r="G948" s="2866"/>
      <c r="H948" s="2866"/>
      <c r="I948" s="2866"/>
      <c r="J948" s="2866"/>
      <c r="K948" s="2866"/>
      <c r="L948" s="2866"/>
      <c r="M948" s="2866"/>
      <c r="N948" s="2106"/>
      <c r="O948" s="2106"/>
      <c r="P948" s="2106"/>
      <c r="Q948" s="2109"/>
    </row>
    <row r="949" spans="1:17" ht="15">
      <c r="A949" s="2109"/>
      <c r="B949" s="2108"/>
      <c r="C949" s="2866"/>
      <c r="D949" s="2866"/>
      <c r="E949" s="2866"/>
      <c r="F949" s="2866"/>
      <c r="G949" s="2866"/>
      <c r="H949" s="2866"/>
      <c r="I949" s="2866"/>
      <c r="J949" s="2866"/>
      <c r="K949" s="2866"/>
      <c r="L949" s="2866"/>
      <c r="M949" s="2866"/>
      <c r="N949" s="2106"/>
      <c r="O949" s="2106"/>
      <c r="P949" s="2106"/>
      <c r="Q949" s="2109"/>
    </row>
    <row r="950" spans="1:17" ht="15">
      <c r="A950" s="2862" t="s">
        <v>401</v>
      </c>
      <c r="B950" s="2862" t="s">
        <v>2426</v>
      </c>
      <c r="C950" s="2862"/>
      <c r="D950" s="2866"/>
      <c r="E950" s="2866"/>
      <c r="F950" s="2866"/>
      <c r="G950" s="2866"/>
      <c r="H950" s="2866"/>
      <c r="I950" s="2866"/>
      <c r="J950" s="2866"/>
      <c r="K950" s="2866"/>
      <c r="L950" s="2866"/>
      <c r="M950" s="2866"/>
      <c r="N950" s="2106"/>
      <c r="O950" s="2863" t="s">
        <v>1731</v>
      </c>
      <c r="P950" s="2858"/>
      <c r="Q950" s="2858"/>
    </row>
    <row r="951" spans="1:17" ht="15">
      <c r="A951" s="2106"/>
      <c r="B951" s="2867" t="s">
        <v>3239</v>
      </c>
      <c r="C951" s="2106"/>
      <c r="D951" s="2867"/>
      <c r="E951" s="2867"/>
      <c r="F951" s="2867"/>
      <c r="G951" s="2867"/>
      <c r="H951" s="2107"/>
      <c r="I951" s="2108"/>
      <c r="J951" s="2108"/>
      <c r="K951" s="2108"/>
      <c r="L951" s="2109"/>
      <c r="M951" s="2109"/>
      <c r="N951" s="2109"/>
      <c r="O951" s="2109"/>
      <c r="P951" s="2109"/>
      <c r="Q951" s="2109"/>
    </row>
    <row r="952" spans="1:17" ht="270.75">
      <c r="A952" s="2859" t="str">
        <f>'Part VII-Threshold Criteria'!A101</f>
        <v xml:space="preserve">Site access is legally accessible from HWY 138, a paved public road. A secondary fire entrance is included onto Scott Rd. </v>
      </c>
      <c r="B952" s="2859"/>
      <c r="C952" s="2859"/>
      <c r="D952" s="2859"/>
      <c r="E952" s="2859"/>
      <c r="F952" s="2859"/>
      <c r="G952" s="2859"/>
      <c r="H952" s="2859"/>
      <c r="I952" s="2859"/>
      <c r="J952" s="2859"/>
      <c r="K952" s="2859"/>
      <c r="L952" s="2859"/>
      <c r="M952" s="2859"/>
      <c r="N952" s="2859"/>
      <c r="O952" s="2859"/>
      <c r="P952" s="2859"/>
      <c r="Q952" s="2859"/>
    </row>
    <row r="953" spans="1:17" ht="14.25">
      <c r="A953" s="2106"/>
      <c r="B953" s="2864" t="s">
        <v>1730</v>
      </c>
      <c r="C953" s="2865"/>
      <c r="D953" s="2866"/>
      <c r="E953" s="2866"/>
      <c r="F953" s="2866"/>
      <c r="G953" s="2866"/>
      <c r="H953" s="2866"/>
      <c r="I953" s="2866"/>
      <c r="J953" s="2866"/>
      <c r="K953" s="2866"/>
      <c r="L953" s="2866"/>
      <c r="M953" s="2866"/>
      <c r="N953" s="2866"/>
      <c r="O953" s="2866"/>
      <c r="P953" s="2866"/>
      <c r="Q953" s="2866"/>
    </row>
    <row r="954" spans="1:17" ht="14.25">
      <c r="A954" s="2859"/>
      <c r="B954" s="2859"/>
      <c r="C954" s="2859"/>
      <c r="D954" s="2859"/>
      <c r="E954" s="2859"/>
      <c r="F954" s="2859"/>
      <c r="G954" s="2859"/>
      <c r="H954" s="2859"/>
      <c r="I954" s="2859"/>
      <c r="J954" s="2859"/>
      <c r="K954" s="2859"/>
      <c r="L954" s="2859"/>
      <c r="M954" s="2859"/>
      <c r="N954" s="2859"/>
      <c r="O954" s="2859"/>
      <c r="P954" s="2859"/>
      <c r="Q954" s="2859"/>
    </row>
    <row r="955" spans="1:17" ht="15">
      <c r="A955" s="2106"/>
      <c r="B955" s="2108"/>
      <c r="C955" s="2866"/>
      <c r="D955" s="2866"/>
      <c r="E955" s="2866"/>
      <c r="F955" s="2866"/>
      <c r="G955" s="2866"/>
      <c r="H955" s="2866"/>
      <c r="I955" s="2866"/>
      <c r="J955" s="2866"/>
      <c r="K955" s="2866"/>
      <c r="L955" s="2866"/>
      <c r="M955" s="2866"/>
      <c r="N955" s="2866"/>
      <c r="O955" s="2866"/>
      <c r="P955" s="2866"/>
      <c r="Q955" s="2109"/>
    </row>
    <row r="956" spans="1:17" ht="15">
      <c r="A956" s="2106"/>
      <c r="B956" s="2108"/>
      <c r="C956" s="2866"/>
      <c r="D956" s="2866"/>
      <c r="E956" s="2866"/>
      <c r="F956" s="2866"/>
      <c r="G956" s="2866"/>
      <c r="H956" s="2866"/>
      <c r="I956" s="2866"/>
      <c r="J956" s="2866"/>
      <c r="K956" s="2866"/>
      <c r="L956" s="2866"/>
      <c r="M956" s="2866"/>
      <c r="N956" s="2866"/>
      <c r="O956" s="2866"/>
      <c r="P956" s="2866"/>
      <c r="Q956" s="2109"/>
    </row>
    <row r="957" spans="1:17" ht="15">
      <c r="A957" s="2862" t="s">
        <v>342</v>
      </c>
      <c r="B957" s="2858" t="s">
        <v>2427</v>
      </c>
      <c r="C957" s="2858"/>
      <c r="D957" s="2858"/>
      <c r="E957" s="2106"/>
      <c r="F957" s="2106"/>
      <c r="G957" s="2106"/>
      <c r="H957" s="2106"/>
      <c r="I957" s="2106"/>
      <c r="J957" s="2106"/>
      <c r="K957" s="2106"/>
      <c r="L957" s="2106"/>
      <c r="M957" s="2106"/>
      <c r="N957" s="2106"/>
      <c r="O957" s="2863" t="s">
        <v>1731</v>
      </c>
      <c r="P957" s="2858"/>
      <c r="Q957" s="2858"/>
    </row>
    <row r="958" spans="1:17" ht="15">
      <c r="A958" s="2106"/>
      <c r="B958" s="2867" t="s">
        <v>3239</v>
      </c>
      <c r="C958" s="2106"/>
      <c r="D958" s="2867"/>
      <c r="E958" s="2867"/>
      <c r="F958" s="2867"/>
      <c r="G958" s="2867"/>
      <c r="H958" s="2107"/>
      <c r="I958" s="2108"/>
      <c r="J958" s="2108"/>
      <c r="K958" s="2108"/>
      <c r="L958" s="2109"/>
      <c r="M958" s="2109"/>
      <c r="N958" s="2109"/>
      <c r="O958" s="2109"/>
      <c r="P958" s="2109"/>
      <c r="Q958" s="2109"/>
    </row>
    <row r="959" spans="1:17" ht="242.25">
      <c r="A959" s="2859" t="str">
        <f>'Part VII-Threshold Criteria'!A108</f>
        <v xml:space="preserve">The site is zoned RM, which permits Multifamily Apartments as explained in the letter from Tiras Winn Petrea. </v>
      </c>
      <c r="B959" s="2859"/>
      <c r="C959" s="2859"/>
      <c r="D959" s="2859"/>
      <c r="E959" s="2859"/>
      <c r="F959" s="2859"/>
      <c r="G959" s="2859"/>
      <c r="H959" s="2859"/>
      <c r="I959" s="2859"/>
      <c r="J959" s="2859"/>
      <c r="K959" s="2859"/>
      <c r="L959" s="2859"/>
      <c r="M959" s="2859"/>
      <c r="N959" s="2859"/>
      <c r="O959" s="2859"/>
      <c r="P959" s="2859"/>
      <c r="Q959" s="2859"/>
    </row>
    <row r="960" spans="1:17" ht="14.25">
      <c r="A960" s="2106"/>
      <c r="B960" s="2864" t="s">
        <v>1730</v>
      </c>
      <c r="C960" s="2865"/>
      <c r="D960" s="2866"/>
      <c r="E960" s="2866"/>
      <c r="F960" s="2866"/>
      <c r="G960" s="2866"/>
      <c r="H960" s="2866"/>
      <c r="I960" s="2866"/>
      <c r="J960" s="2866"/>
      <c r="K960" s="2866"/>
      <c r="L960" s="2866"/>
      <c r="M960" s="2866"/>
      <c r="N960" s="2866"/>
      <c r="O960" s="2866"/>
      <c r="P960" s="2866"/>
      <c r="Q960" s="2866"/>
    </row>
    <row r="961" spans="1:17" ht="14.25">
      <c r="A961" s="2859"/>
      <c r="B961" s="2859"/>
      <c r="C961" s="2859"/>
      <c r="D961" s="2859"/>
      <c r="E961" s="2859"/>
      <c r="F961" s="2859"/>
      <c r="G961" s="2859"/>
      <c r="H961" s="2859"/>
      <c r="I961" s="2859"/>
      <c r="J961" s="2859"/>
      <c r="K961" s="2859"/>
      <c r="L961" s="2859"/>
      <c r="M961" s="2859"/>
      <c r="N961" s="2859"/>
      <c r="O961" s="2859"/>
      <c r="P961" s="2859"/>
      <c r="Q961" s="2859"/>
    </row>
    <row r="962" spans="1:17" ht="15">
      <c r="A962" s="2109"/>
      <c r="B962" s="2108"/>
      <c r="C962" s="2866"/>
      <c r="D962" s="2866"/>
      <c r="E962" s="2866"/>
      <c r="F962" s="2866"/>
      <c r="G962" s="2866"/>
      <c r="H962" s="2866"/>
      <c r="I962" s="2866"/>
      <c r="J962" s="2866"/>
      <c r="K962" s="2866"/>
      <c r="L962" s="2866"/>
      <c r="M962" s="2866"/>
      <c r="N962" s="2866"/>
      <c r="O962" s="2866"/>
      <c r="P962" s="2866"/>
      <c r="Q962" s="2109"/>
    </row>
    <row r="963" spans="1:17" ht="15">
      <c r="A963" s="2109"/>
      <c r="B963" s="2108"/>
      <c r="C963" s="2866"/>
      <c r="D963" s="2866"/>
      <c r="E963" s="2866"/>
      <c r="F963" s="2866"/>
      <c r="G963" s="2866"/>
      <c r="H963" s="2866"/>
      <c r="I963" s="2866"/>
      <c r="J963" s="2866"/>
      <c r="K963" s="2866"/>
      <c r="L963" s="2866"/>
      <c r="M963" s="2866"/>
      <c r="N963" s="2866"/>
      <c r="O963" s="2866"/>
      <c r="P963" s="2866"/>
      <c r="Q963" s="2109"/>
    </row>
    <row r="964" spans="1:17" ht="15">
      <c r="A964" s="2862" t="s">
        <v>343</v>
      </c>
      <c r="B964" s="2862" t="s">
        <v>2428</v>
      </c>
      <c r="C964" s="2862"/>
      <c r="D964" s="2866"/>
      <c r="E964" s="2866"/>
      <c r="F964" s="2106"/>
      <c r="G964" s="2866"/>
      <c r="H964" s="2106"/>
      <c r="I964" s="2106"/>
      <c r="J964" s="2859"/>
      <c r="K964" s="2859"/>
      <c r="L964" s="2859"/>
      <c r="M964" s="2859"/>
      <c r="N964" s="2106"/>
      <c r="O964" s="2863" t="s">
        <v>1731</v>
      </c>
      <c r="P964" s="2858"/>
      <c r="Q964" s="2858"/>
    </row>
    <row r="965" spans="1:17" ht="15">
      <c r="A965" s="2870"/>
      <c r="B965" s="2106" t="s">
        <v>6791</v>
      </c>
      <c r="C965" s="2106"/>
      <c r="D965" s="2106"/>
      <c r="E965" s="2106"/>
      <c r="F965" s="2106"/>
      <c r="G965" s="2106"/>
      <c r="H965" s="2106" t="s">
        <v>6792</v>
      </c>
      <c r="I965" s="2106"/>
      <c r="J965" s="2858" t="str">
        <f>'Part VII-Threshold Criteria'!J114</f>
        <v>NA</v>
      </c>
      <c r="K965" s="2858"/>
      <c r="L965" s="2858"/>
      <c r="M965" s="2858"/>
      <c r="N965" s="2858"/>
      <c r="O965" s="2858"/>
      <c r="P965" s="2858"/>
      <c r="Q965" s="2858"/>
    </row>
    <row r="966" spans="1:17" ht="15">
      <c r="A966" s="2870"/>
      <c r="B966" s="2870"/>
      <c r="C966" s="2106"/>
      <c r="D966" s="2106"/>
      <c r="E966" s="2106"/>
      <c r="F966" s="2106"/>
      <c r="G966" s="2106"/>
      <c r="H966" s="2106" t="s">
        <v>6793</v>
      </c>
      <c r="I966" s="2106"/>
      <c r="J966" s="2858" t="str">
        <f>'Part VII-Threshold Criteria'!J115</f>
        <v>Georgia Power</v>
      </c>
      <c r="K966" s="2858"/>
      <c r="L966" s="2858"/>
      <c r="M966" s="2858"/>
      <c r="N966" s="2858"/>
      <c r="O966" s="2858"/>
      <c r="P966" s="2858"/>
      <c r="Q966" s="2858"/>
    </row>
    <row r="967" spans="1:17" ht="15">
      <c r="A967" s="2870"/>
      <c r="B967" s="2867" t="s">
        <v>3239</v>
      </c>
      <c r="C967" s="2859"/>
      <c r="D967" s="2859"/>
      <c r="E967" s="2859"/>
      <c r="F967" s="2859"/>
      <c r="G967" s="2106"/>
      <c r="H967" s="2106"/>
      <c r="I967" s="2106"/>
      <c r="J967" s="2106"/>
      <c r="K967" s="2106"/>
      <c r="L967" s="2106"/>
      <c r="M967" s="2106"/>
      <c r="N967" s="2106"/>
      <c r="O967" s="2106"/>
      <c r="P967" s="2106"/>
      <c r="Q967" s="2106"/>
    </row>
    <row r="968" spans="1:17" ht="128.25">
      <c r="A968" s="2859" t="str">
        <f>'Part VII-Threshold Criteria'!A117</f>
        <v>The proposed development will be 100% electic, no gas.</v>
      </c>
      <c r="B968" s="2859"/>
      <c r="C968" s="2859"/>
      <c r="D968" s="2859"/>
      <c r="E968" s="2859"/>
      <c r="F968" s="2859"/>
      <c r="G968" s="2859"/>
      <c r="H968" s="2859"/>
      <c r="I968" s="2859"/>
      <c r="J968" s="2859"/>
      <c r="K968" s="2859"/>
      <c r="L968" s="2859"/>
      <c r="M968" s="2859"/>
      <c r="N968" s="2859"/>
      <c r="O968" s="2859"/>
      <c r="P968" s="2859"/>
      <c r="Q968" s="2859"/>
    </row>
    <row r="969" spans="1:17" ht="14.25">
      <c r="A969" s="2106"/>
      <c r="B969" s="2864" t="s">
        <v>1730</v>
      </c>
      <c r="C969" s="2865"/>
      <c r="D969" s="2866"/>
      <c r="E969" s="2866"/>
      <c r="F969" s="2866"/>
      <c r="G969" s="2866"/>
      <c r="H969" s="2866"/>
      <c r="I969" s="2866"/>
      <c r="J969" s="2866"/>
      <c r="K969" s="2866"/>
      <c r="L969" s="2866"/>
      <c r="M969" s="2866"/>
      <c r="N969" s="2866"/>
      <c r="O969" s="2866"/>
      <c r="P969" s="2866"/>
      <c r="Q969" s="2866"/>
    </row>
    <row r="970" spans="1:17" ht="14.25">
      <c r="A970" s="2859"/>
      <c r="B970" s="2859"/>
      <c r="C970" s="2859"/>
      <c r="D970" s="2859"/>
      <c r="E970" s="2859"/>
      <c r="F970" s="2859"/>
      <c r="G970" s="2859"/>
      <c r="H970" s="2859"/>
      <c r="I970" s="2859"/>
      <c r="J970" s="2859"/>
      <c r="K970" s="2859"/>
      <c r="L970" s="2859"/>
      <c r="M970" s="2859"/>
      <c r="N970" s="2859"/>
      <c r="O970" s="2859"/>
      <c r="P970" s="2859"/>
      <c r="Q970" s="2859"/>
    </row>
    <row r="971" spans="1:17" ht="15">
      <c r="A971" s="2106"/>
      <c r="B971" s="2108"/>
      <c r="C971" s="2866"/>
      <c r="D971" s="2866"/>
      <c r="E971" s="2866"/>
      <c r="F971" s="2866"/>
      <c r="G971" s="2866"/>
      <c r="H971" s="2866"/>
      <c r="I971" s="2866"/>
      <c r="J971" s="2866"/>
      <c r="K971" s="2866"/>
      <c r="L971" s="2866"/>
      <c r="M971" s="2866"/>
      <c r="N971" s="2106"/>
      <c r="O971" s="2106"/>
      <c r="P971" s="2106"/>
      <c r="Q971" s="2109"/>
    </row>
    <row r="972" spans="1:17" ht="15">
      <c r="A972" s="2106"/>
      <c r="B972" s="2108"/>
      <c r="C972" s="2866"/>
      <c r="D972" s="2866"/>
      <c r="E972" s="2866"/>
      <c r="F972" s="2866"/>
      <c r="G972" s="2866"/>
      <c r="H972" s="2866"/>
      <c r="I972" s="2866"/>
      <c r="J972" s="2866"/>
      <c r="K972" s="2866"/>
      <c r="L972" s="2866"/>
      <c r="M972" s="2866"/>
      <c r="N972" s="2106"/>
      <c r="O972" s="2106"/>
      <c r="P972" s="2106"/>
      <c r="Q972" s="2109"/>
    </row>
    <row r="973" spans="1:17" ht="15">
      <c r="A973" s="2862" t="s">
        <v>344</v>
      </c>
      <c r="B973" s="2858" t="s">
        <v>6794</v>
      </c>
      <c r="C973" s="2858"/>
      <c r="D973" s="2858"/>
      <c r="E973" s="2858"/>
      <c r="F973" s="2858"/>
      <c r="G973" s="2866"/>
      <c r="H973" s="2866"/>
      <c r="I973" s="2106"/>
      <c r="J973" s="2866"/>
      <c r="K973" s="2866"/>
      <c r="L973" s="2866"/>
      <c r="M973" s="2866"/>
      <c r="N973" s="2106"/>
      <c r="O973" s="2863" t="s">
        <v>1731</v>
      </c>
      <c r="P973" s="2858"/>
      <c r="Q973" s="2858"/>
    </row>
    <row r="974" spans="1:17" ht="15">
      <c r="A974" s="2870"/>
      <c r="B974" s="2106" t="s">
        <v>6795</v>
      </c>
      <c r="C974" s="2106"/>
      <c r="D974" s="2106"/>
      <c r="E974" s="2106"/>
      <c r="F974" s="2106"/>
      <c r="G974" s="2106"/>
      <c r="H974" s="2106" t="s">
        <v>6796</v>
      </c>
      <c r="I974" s="2106"/>
      <c r="J974" s="2858" t="str">
        <f>'Part VII-Threshold Criteria'!J123</f>
        <v>Clayton County Water Authority</v>
      </c>
      <c r="K974" s="2858"/>
      <c r="L974" s="2858"/>
      <c r="M974" s="2858"/>
      <c r="N974" s="2858"/>
      <c r="O974" s="2858"/>
      <c r="P974" s="2858"/>
      <c r="Q974" s="2858"/>
    </row>
    <row r="975" spans="1:17" ht="15">
      <c r="A975" s="2859"/>
      <c r="B975" s="2870"/>
      <c r="C975" s="2106"/>
      <c r="D975" s="2106"/>
      <c r="E975" s="2106"/>
      <c r="F975" s="2106"/>
      <c r="G975" s="2106"/>
      <c r="H975" s="2106" t="s">
        <v>6797</v>
      </c>
      <c r="I975" s="2106"/>
      <c r="J975" s="2858" t="str">
        <f>'Part VII-Threshold Criteria'!J124</f>
        <v>Clayton County Water Authority</v>
      </c>
      <c r="K975" s="2858"/>
      <c r="L975" s="2858"/>
      <c r="M975" s="2858"/>
      <c r="N975" s="2858"/>
      <c r="O975" s="2858"/>
      <c r="P975" s="2858"/>
      <c r="Q975" s="2858"/>
    </row>
    <row r="976" spans="1:17" ht="15">
      <c r="A976" s="2106"/>
      <c r="B976" s="2867" t="s">
        <v>3239</v>
      </c>
      <c r="C976" s="2106"/>
      <c r="D976" s="2864"/>
      <c r="E976" s="2864"/>
      <c r="F976" s="2864"/>
      <c r="G976" s="2864"/>
      <c r="H976" s="2106"/>
      <c r="I976" s="2106"/>
      <c r="J976" s="2106"/>
      <c r="K976" s="2106"/>
      <c r="L976" s="2858"/>
      <c r="M976" s="2858"/>
      <c r="N976" s="2858"/>
      <c r="O976" s="2858"/>
      <c r="P976" s="2858"/>
      <c r="Q976" s="2858"/>
    </row>
    <row r="977" spans="1:17" ht="409.5">
      <c r="A977" s="2859" t="str">
        <f>'Part VII-Threshold Criteria'!A126</f>
        <v>Water and Sewer are located at the site per the letter from Clayton County and potential tie in locations are depicted on the CSDP. No easements, commitments, or improvements are needed.</v>
      </c>
      <c r="B977" s="2859"/>
      <c r="C977" s="2859"/>
      <c r="D977" s="2859"/>
      <c r="E977" s="2859"/>
      <c r="F977" s="2859"/>
      <c r="G977" s="2859"/>
      <c r="H977" s="2859"/>
      <c r="I977" s="2859"/>
      <c r="J977" s="2859"/>
      <c r="K977" s="2859"/>
      <c r="L977" s="2859"/>
      <c r="M977" s="2859"/>
      <c r="N977" s="2859"/>
      <c r="O977" s="2859"/>
      <c r="P977" s="2859"/>
      <c r="Q977" s="2859"/>
    </row>
    <row r="978" spans="1:17" ht="14.25">
      <c r="A978" s="2106"/>
      <c r="B978" s="2864" t="s">
        <v>1730</v>
      </c>
      <c r="C978" s="2865"/>
      <c r="D978" s="2866"/>
      <c r="E978" s="2866"/>
      <c r="F978" s="2866"/>
      <c r="G978" s="2866"/>
      <c r="H978" s="2866"/>
      <c r="I978" s="2866"/>
      <c r="J978" s="2866"/>
      <c r="K978" s="2866"/>
      <c r="L978" s="2866"/>
      <c r="M978" s="2866"/>
      <c r="N978" s="2866"/>
      <c r="O978" s="2866"/>
      <c r="P978" s="2866"/>
      <c r="Q978" s="2866"/>
    </row>
    <row r="979" spans="1:17" ht="14.25">
      <c r="A979" s="2859"/>
      <c r="B979" s="2859"/>
      <c r="C979" s="2859"/>
      <c r="D979" s="2859"/>
      <c r="E979" s="2859"/>
      <c r="F979" s="2859"/>
      <c r="G979" s="2859"/>
      <c r="H979" s="2859"/>
      <c r="I979" s="2859"/>
      <c r="J979" s="2859"/>
      <c r="K979" s="2859"/>
      <c r="L979" s="2859"/>
      <c r="M979" s="2859"/>
      <c r="N979" s="2859"/>
      <c r="O979" s="2859"/>
      <c r="P979" s="2859"/>
      <c r="Q979" s="2859"/>
    </row>
    <row r="980" spans="1:17" ht="15">
      <c r="A980" s="2109"/>
      <c r="B980" s="2108"/>
      <c r="C980" s="2866"/>
      <c r="D980" s="2866"/>
      <c r="E980" s="2866"/>
      <c r="F980" s="2866"/>
      <c r="G980" s="2866"/>
      <c r="H980" s="2866"/>
      <c r="I980" s="2866"/>
      <c r="J980" s="2866"/>
      <c r="K980" s="2866"/>
      <c r="L980" s="2866"/>
      <c r="M980" s="2866"/>
      <c r="N980" s="2106"/>
      <c r="O980" s="2106"/>
      <c r="P980" s="2106"/>
      <c r="Q980" s="2109"/>
    </row>
    <row r="981" spans="1:17" ht="15">
      <c r="A981" s="2109"/>
      <c r="B981" s="2108"/>
      <c r="C981" s="2866"/>
      <c r="D981" s="2866"/>
      <c r="E981" s="2866"/>
      <c r="F981" s="2866"/>
      <c r="G981" s="2866"/>
      <c r="H981" s="2866"/>
      <c r="I981" s="2866"/>
      <c r="J981" s="2866"/>
      <c r="K981" s="2866"/>
      <c r="L981" s="2866"/>
      <c r="M981" s="2866"/>
      <c r="N981" s="2106"/>
      <c r="O981" s="2106"/>
      <c r="P981" s="2106"/>
      <c r="Q981" s="2109"/>
    </row>
    <row r="982" spans="1:17" ht="15">
      <c r="A982" s="2862" t="s">
        <v>1604</v>
      </c>
      <c r="B982" s="2862" t="s">
        <v>2430</v>
      </c>
      <c r="C982" s="2862"/>
      <c r="D982" s="2866"/>
      <c r="E982" s="2866"/>
      <c r="F982" s="2866"/>
      <c r="G982" s="2866"/>
      <c r="H982" s="2866"/>
      <c r="I982" s="2866"/>
      <c r="J982" s="2866"/>
      <c r="K982" s="2866"/>
      <c r="L982" s="2866"/>
      <c r="M982" s="2866"/>
      <c r="N982" s="2106"/>
      <c r="O982" s="2863" t="s">
        <v>1731</v>
      </c>
      <c r="P982" s="2858"/>
      <c r="Q982" s="2858"/>
    </row>
    <row r="983" spans="1:17" ht="15" customHeight="1">
      <c r="A983" s="2106"/>
      <c r="B983" s="2859" t="s">
        <v>6998</v>
      </c>
      <c r="C983" s="2859"/>
      <c r="D983" s="2859"/>
      <c r="E983" s="2859"/>
      <c r="F983" s="2859"/>
      <c r="G983" s="2859"/>
      <c r="H983" s="2859"/>
      <c r="I983" s="2859"/>
      <c r="J983" s="2859"/>
      <c r="K983" s="2859"/>
      <c r="L983" s="2859"/>
      <c r="M983" s="2859"/>
      <c r="N983" s="2859"/>
      <c r="O983" s="2859"/>
      <c r="P983" s="2858" t="str">
        <f>'Part VII-Threshold Criteria'!P132</f>
        <v>Yes</v>
      </c>
      <c r="Q983" s="2858"/>
    </row>
    <row r="984" spans="1:17" ht="15">
      <c r="A984" s="2870" t="s">
        <v>1841</v>
      </c>
      <c r="B984" s="2106" t="s">
        <v>6999</v>
      </c>
      <c r="C984" s="2106"/>
      <c r="D984" s="2106"/>
      <c r="E984" s="2106"/>
      <c r="F984" s="2106"/>
      <c r="G984" s="2106"/>
      <c r="H984" s="2106"/>
      <c r="I984" s="2106"/>
      <c r="J984" s="2106"/>
      <c r="K984" s="2106"/>
      <c r="L984" s="2106"/>
      <c r="M984" s="2106"/>
      <c r="N984" s="2106"/>
      <c r="O984" s="2872"/>
      <c r="P984" s="2106"/>
      <c r="Q984" s="2106"/>
    </row>
    <row r="985" spans="1:17" ht="15">
      <c r="A985" s="2870"/>
      <c r="B985" s="2107"/>
      <c r="C985" s="2106" t="s">
        <v>1792</v>
      </c>
      <c r="D985" s="2106"/>
      <c r="E985" s="2106"/>
      <c r="F985" s="2106"/>
      <c r="G985" s="2106"/>
      <c r="H985" s="2106"/>
      <c r="I985" s="2106"/>
      <c r="J985" s="2872"/>
      <c r="K985" s="2106"/>
      <c r="L985" s="2106"/>
      <c r="M985" s="2858" t="str">
        <f>'Part VII-Threshold Criteria'!M134</f>
        <v>Room</v>
      </c>
      <c r="N985" s="2858"/>
      <c r="O985" s="2858"/>
      <c r="P985" s="2858"/>
      <c r="Q985" s="2858"/>
    </row>
    <row r="986" spans="1:17" ht="15">
      <c r="A986" s="2870"/>
      <c r="B986" s="2107"/>
      <c r="C986" s="2107" t="s">
        <v>6717</v>
      </c>
      <c r="D986" s="2106"/>
      <c r="E986" s="2107"/>
      <c r="F986" s="2107"/>
      <c r="G986" s="2107"/>
      <c r="H986" s="2107"/>
      <c r="I986" s="2106"/>
      <c r="J986" s="2872"/>
      <c r="K986" s="2106"/>
      <c r="L986" s="2106"/>
      <c r="M986" s="2858" t="str">
        <f>'Part VII-Threshold Criteria'!M135</f>
        <v>Covered Porch</v>
      </c>
      <c r="N986" s="2858"/>
      <c r="O986" s="2858"/>
      <c r="P986" s="2858"/>
      <c r="Q986" s="2858"/>
    </row>
    <row r="987" spans="1:17" ht="15" customHeight="1">
      <c r="A987" s="2870"/>
      <c r="B987" s="2107"/>
      <c r="C987" s="2859" t="str">
        <f>'Part VII-Threshold Criteria'!C136</f>
        <v>If "Other Pre-Approved", explain here</v>
      </c>
      <c r="D987" s="2859"/>
      <c r="E987" s="2859"/>
      <c r="F987" s="2859"/>
      <c r="G987" s="2859"/>
      <c r="H987" s="2859"/>
      <c r="I987" s="2859"/>
      <c r="J987" s="2859"/>
      <c r="K987" s="2859"/>
      <c r="L987" s="2859"/>
      <c r="M987" s="2859"/>
      <c r="N987" s="2859"/>
      <c r="O987" s="2859"/>
      <c r="P987" s="2859"/>
      <c r="Q987" s="2859"/>
    </row>
    <row r="988" spans="1:17" ht="15">
      <c r="A988" s="2870"/>
      <c r="B988" s="2107"/>
      <c r="C988" s="2107" t="s">
        <v>3785</v>
      </c>
      <c r="D988" s="2106"/>
      <c r="E988" s="2107"/>
      <c r="F988" s="2107"/>
      <c r="G988" s="2107"/>
      <c r="H988" s="2107"/>
      <c r="I988" s="2106"/>
      <c r="J988" s="2872"/>
      <c r="K988" s="2106"/>
      <c r="L988" s="2106"/>
      <c r="M988" s="2858" t="str">
        <f>'Part VII-Threshold Criteria'!M137</f>
        <v>On-site laundry</v>
      </c>
      <c r="N988" s="2858"/>
      <c r="O988" s="2858"/>
      <c r="P988" s="2858"/>
      <c r="Q988" s="2858"/>
    </row>
    <row r="989" spans="1:17" ht="15" customHeight="1">
      <c r="A989" s="2870" t="s">
        <v>1843</v>
      </c>
      <c r="B989" s="2859" t="s">
        <v>7000</v>
      </c>
      <c r="C989" s="2859"/>
      <c r="D989" s="2859"/>
      <c r="E989" s="2859"/>
      <c r="F989" s="2859"/>
      <c r="G989" s="2859"/>
      <c r="H989" s="2859"/>
      <c r="I989" s="2859"/>
      <c r="J989" s="2859"/>
      <c r="K989" s="2859"/>
      <c r="L989" s="2859"/>
      <c r="M989" s="2859"/>
      <c r="N989" s="2859"/>
      <c r="O989" s="2872"/>
      <c r="P989" s="2109"/>
      <c r="Q989" s="2109"/>
    </row>
    <row r="990" spans="1:17" ht="15" customHeight="1">
      <c r="A990" s="2876"/>
      <c r="B990" s="2866"/>
      <c r="C990" s="2859" t="s">
        <v>7001</v>
      </c>
      <c r="D990" s="2859"/>
      <c r="E990" s="2859"/>
      <c r="F990" s="2859"/>
      <c r="G990" s="2859"/>
      <c r="H990" s="2859"/>
      <c r="I990" s="2859"/>
      <c r="J990" s="2859"/>
      <c r="K990" s="2859"/>
      <c r="L990" s="2859"/>
      <c r="M990" s="2859"/>
      <c r="N990" s="2859"/>
      <c r="O990" s="2859"/>
      <c r="P990" s="2109"/>
      <c r="Q990" s="2109"/>
    </row>
    <row r="991" spans="1:17" ht="15" customHeight="1">
      <c r="A991" s="2109"/>
      <c r="B991" s="2882" t="s">
        <v>1614</v>
      </c>
      <c r="C991" s="2861" t="str">
        <f>'Part VII-Threshold Criteria'!C140</f>
        <v>Furnished Exercise /Fitness Center</v>
      </c>
      <c r="D991" s="2861"/>
      <c r="E991" s="2861"/>
      <c r="F991" s="2861"/>
      <c r="G991" s="2861"/>
      <c r="H991" s="2861"/>
      <c r="I991" s="2106"/>
      <c r="J991" s="2861">
        <f>'Part VII-Threshold Criteria'!J140</f>
        <v>0</v>
      </c>
      <c r="K991" s="2861"/>
      <c r="L991" s="2861"/>
      <c r="M991" s="2861"/>
      <c r="N991" s="2861"/>
      <c r="O991" s="2861"/>
      <c r="P991" s="2861"/>
      <c r="Q991" s="2861"/>
    </row>
    <row r="992" spans="1:17" ht="15" customHeight="1">
      <c r="A992" s="2109"/>
      <c r="B992" s="2882" t="s">
        <v>1615</v>
      </c>
      <c r="C992" s="2861" t="str">
        <f>'Part VII-Threshold Criteria'!C141</f>
        <v xml:space="preserve">Covered pavilion with picnic/BBQ facilities </v>
      </c>
      <c r="D992" s="2861"/>
      <c r="E992" s="2861"/>
      <c r="F992" s="2861"/>
      <c r="G992" s="2861"/>
      <c r="H992" s="2861"/>
      <c r="I992" s="2106"/>
      <c r="J992" s="2861">
        <f>'Part VII-Threshold Criteria'!J141</f>
        <v>0</v>
      </c>
      <c r="K992" s="2861"/>
      <c r="L992" s="2861"/>
      <c r="M992" s="2861"/>
      <c r="N992" s="2861"/>
      <c r="O992" s="2861"/>
      <c r="P992" s="2861"/>
      <c r="Q992" s="2861"/>
    </row>
    <row r="993" spans="1:17" ht="15" customHeight="1">
      <c r="A993" s="2109"/>
      <c r="B993" s="2882" t="s">
        <v>1616</v>
      </c>
      <c r="C993" s="2861" t="str">
        <f>'Part VII-Threshold Criteria'!C142</f>
        <v>(Select an amenity from options provided here)</v>
      </c>
      <c r="D993" s="2861"/>
      <c r="E993" s="2861"/>
      <c r="F993" s="2861"/>
      <c r="G993" s="2861"/>
      <c r="H993" s="2861"/>
      <c r="I993" s="2106"/>
      <c r="J993" s="2861">
        <f>'Part VII-Threshold Criteria'!J142</f>
        <v>0</v>
      </c>
      <c r="K993" s="2861"/>
      <c r="L993" s="2861"/>
      <c r="M993" s="2861"/>
      <c r="N993" s="2861"/>
      <c r="O993" s="2861"/>
      <c r="P993" s="2861"/>
      <c r="Q993" s="2861"/>
    </row>
    <row r="994" spans="1:17" ht="15" customHeight="1">
      <c r="A994" s="2109"/>
      <c r="B994" s="2882" t="s">
        <v>2182</v>
      </c>
      <c r="C994" s="2861" t="str">
        <f>'Part VII-Threshold Criteria'!C143</f>
        <v>(Select an amenity from options provided here)</v>
      </c>
      <c r="D994" s="2861"/>
      <c r="E994" s="2861"/>
      <c r="F994" s="2861"/>
      <c r="G994" s="2861"/>
      <c r="H994" s="2861"/>
      <c r="I994" s="2106"/>
      <c r="J994" s="2861">
        <f>'Part VII-Threshold Criteria'!J143</f>
        <v>0</v>
      </c>
      <c r="K994" s="2861"/>
      <c r="L994" s="2861"/>
      <c r="M994" s="2861"/>
      <c r="N994" s="2861"/>
      <c r="O994" s="2861"/>
      <c r="P994" s="2861"/>
      <c r="Q994" s="2861"/>
    </row>
    <row r="995" spans="1:17" ht="15">
      <c r="A995" s="2106"/>
      <c r="B995" s="2867" t="s">
        <v>3239</v>
      </c>
      <c r="C995" s="2106"/>
      <c r="D995" s="2867"/>
      <c r="E995" s="2867"/>
      <c r="F995" s="2867"/>
      <c r="G995" s="2867"/>
      <c r="H995" s="2107"/>
      <c r="I995" s="2108"/>
      <c r="J995" s="2108"/>
      <c r="K995" s="2108"/>
      <c r="L995" s="2109"/>
      <c r="M995" s="2109"/>
      <c r="N995" s="2109"/>
      <c r="O995" s="2109"/>
      <c r="P995" s="2106"/>
      <c r="Q995" s="2106"/>
    </row>
    <row r="996" spans="1:17" ht="114">
      <c r="A996" s="2859" t="str">
        <f>'Part VII-Threshold Criteria'!A145</f>
        <v>None of the proposed amenities require a waiver.</v>
      </c>
      <c r="B996" s="2859"/>
      <c r="C996" s="2859"/>
      <c r="D996" s="2859"/>
      <c r="E996" s="2859"/>
      <c r="F996" s="2859"/>
      <c r="G996" s="2859"/>
      <c r="H996" s="2859"/>
      <c r="I996" s="2859"/>
      <c r="J996" s="2859"/>
      <c r="K996" s="2859"/>
      <c r="L996" s="2859"/>
      <c r="M996" s="2859"/>
      <c r="N996" s="2859"/>
      <c r="O996" s="2859"/>
      <c r="P996" s="2859"/>
      <c r="Q996" s="2859"/>
    </row>
    <row r="997" spans="1:17" ht="14.25">
      <c r="A997" s="2106"/>
      <c r="B997" s="2864" t="s">
        <v>1730</v>
      </c>
      <c r="C997" s="2865"/>
      <c r="D997" s="2866"/>
      <c r="E997" s="2866"/>
      <c r="F997" s="2866"/>
      <c r="G997" s="2866"/>
      <c r="H997" s="2866"/>
      <c r="I997" s="2866"/>
      <c r="J997" s="2866"/>
      <c r="K997" s="2866"/>
      <c r="L997" s="2866"/>
      <c r="M997" s="2866"/>
      <c r="N997" s="2866"/>
      <c r="O997" s="2866"/>
      <c r="P997" s="2866"/>
      <c r="Q997" s="2866"/>
    </row>
    <row r="998" spans="1:17" ht="14.25">
      <c r="A998" s="2859"/>
      <c r="B998" s="2859"/>
      <c r="C998" s="2859"/>
      <c r="D998" s="2859"/>
      <c r="E998" s="2859"/>
      <c r="F998" s="2859"/>
      <c r="G998" s="2859"/>
      <c r="H998" s="2859"/>
      <c r="I998" s="2859"/>
      <c r="J998" s="2859"/>
      <c r="K998" s="2859"/>
      <c r="L998" s="2859"/>
      <c r="M998" s="2859"/>
      <c r="N998" s="2859"/>
      <c r="O998" s="2859"/>
      <c r="P998" s="2859"/>
      <c r="Q998" s="2859"/>
    </row>
    <row r="999" spans="1:17" ht="15">
      <c r="A999" s="2109"/>
      <c r="B999" s="2108"/>
      <c r="C999" s="2866"/>
      <c r="D999" s="2866"/>
      <c r="E999" s="2866"/>
      <c r="F999" s="2866"/>
      <c r="G999" s="2866"/>
      <c r="H999" s="2866"/>
      <c r="I999" s="2866"/>
      <c r="J999" s="2866"/>
      <c r="K999" s="2866"/>
      <c r="L999" s="2866"/>
      <c r="M999" s="2866"/>
      <c r="N999" s="2106"/>
      <c r="O999" s="2106"/>
      <c r="P999" s="2106"/>
      <c r="Q999" s="2109"/>
    </row>
    <row r="1000" spans="1:17" ht="15">
      <c r="A1000" s="2109"/>
      <c r="B1000" s="2108"/>
      <c r="C1000" s="2866"/>
      <c r="D1000" s="2866"/>
      <c r="E1000" s="2866"/>
      <c r="F1000" s="2866"/>
      <c r="G1000" s="2866"/>
      <c r="H1000" s="2866"/>
      <c r="I1000" s="2866"/>
      <c r="J1000" s="2866"/>
      <c r="K1000" s="2866"/>
      <c r="L1000" s="2866"/>
      <c r="M1000" s="2866"/>
      <c r="N1000" s="2106"/>
      <c r="O1000" s="2106"/>
      <c r="P1000" s="2106"/>
      <c r="Q1000" s="2109"/>
    </row>
    <row r="1001" spans="1:17" ht="15">
      <c r="A1001" s="2862" t="s">
        <v>2495</v>
      </c>
      <c r="B1001" s="2858" t="s">
        <v>3950</v>
      </c>
      <c r="C1001" s="2858"/>
      <c r="D1001" s="2858"/>
      <c r="E1001" s="2858"/>
      <c r="F1001" s="2858"/>
      <c r="G1001" s="2858"/>
      <c r="H1001" s="2866"/>
      <c r="I1001" s="2866"/>
      <c r="J1001" s="2866"/>
      <c r="K1001" s="2866"/>
      <c r="L1001" s="2890"/>
      <c r="M1001" s="2891"/>
      <c r="N1001" s="2106"/>
      <c r="O1001" s="2863" t="s">
        <v>1731</v>
      </c>
      <c r="P1001" s="2858"/>
      <c r="Q1001" s="2858"/>
    </row>
    <row r="1002" spans="1:17" ht="15">
      <c r="A1002" s="2106"/>
      <c r="B1002" s="2106" t="s">
        <v>6802</v>
      </c>
      <c r="C1002" s="2106"/>
      <c r="D1002" s="2106"/>
      <c r="E1002" s="2106"/>
      <c r="F1002" s="2106"/>
      <c r="G1002" s="2106"/>
      <c r="H1002" s="2106"/>
      <c r="I1002" s="2106"/>
      <c r="J1002" s="2106"/>
      <c r="K1002" s="2106"/>
      <c r="L1002" s="2106"/>
      <c r="M1002" s="2106"/>
      <c r="N1002" s="2108"/>
      <c r="O1002" s="2106"/>
      <c r="P1002" s="2858">
        <f>'Part VII-Threshold Criteria'!P151</f>
        <v>0</v>
      </c>
      <c r="Q1002" s="2858"/>
    </row>
    <row r="1003" spans="1:17" ht="15" customHeight="1">
      <c r="A1003" s="2870"/>
      <c r="B1003" s="2106" t="s">
        <v>1192</v>
      </c>
      <c r="C1003" s="2106"/>
      <c r="D1003" s="2106"/>
      <c r="E1003" s="2106"/>
      <c r="F1003" s="2106"/>
      <c r="G1003" s="2106"/>
      <c r="H1003" s="2859" t="str">
        <f>'Part VII-Threshold Criteria'!H152</f>
        <v>&lt;&lt;Select&gt;&gt;</v>
      </c>
      <c r="I1003" s="2859"/>
      <c r="J1003" s="2859"/>
      <c r="K1003" s="2859"/>
      <c r="L1003" s="2859"/>
      <c r="M1003" s="2859"/>
      <c r="N1003" s="2859"/>
      <c r="O1003" s="2859"/>
      <c r="P1003" s="2859"/>
      <c r="Q1003" s="2859"/>
    </row>
    <row r="1004" spans="1:17" ht="15">
      <c r="A1004" s="2870"/>
      <c r="B1004" s="2106" t="s">
        <v>1806</v>
      </c>
      <c r="C1004" s="2106"/>
      <c r="D1004" s="2106"/>
      <c r="E1004" s="2106"/>
      <c r="F1004" s="2106"/>
      <c r="G1004" s="2106"/>
      <c r="H1004" s="2859">
        <f>'Part VII-Threshold Criteria'!H153</f>
        <v>0</v>
      </c>
      <c r="I1004" s="2859"/>
      <c r="J1004" s="2859"/>
      <c r="K1004" s="2859"/>
      <c r="L1004" s="2859"/>
      <c r="M1004" s="2859"/>
      <c r="N1004" s="2859"/>
      <c r="O1004" s="2859"/>
      <c r="P1004" s="2859"/>
      <c r="Q1004" s="2859"/>
    </row>
    <row r="1005" spans="1:17" ht="15">
      <c r="A1005" s="2106"/>
      <c r="B1005" s="2867" t="s">
        <v>3239</v>
      </c>
      <c r="C1005" s="2106"/>
      <c r="D1005" s="2867"/>
      <c r="E1005" s="2867"/>
      <c r="F1005" s="2867"/>
      <c r="G1005" s="2867"/>
      <c r="H1005" s="2107"/>
      <c r="I1005" s="2108"/>
      <c r="J1005" s="2108"/>
      <c r="K1005" s="2108"/>
      <c r="L1005" s="2109"/>
      <c r="M1005" s="2109"/>
      <c r="N1005" s="2109"/>
      <c r="O1005" s="2109"/>
      <c r="P1005" s="2109"/>
      <c r="Q1005" s="2109"/>
    </row>
    <row r="1006" spans="1:17" ht="42.75">
      <c r="A1006" s="2859" t="str">
        <f>'Part VII-Threshold Criteria'!A155</f>
        <v>This section is NA</v>
      </c>
      <c r="B1006" s="2859"/>
      <c r="C1006" s="2859"/>
      <c r="D1006" s="2859"/>
      <c r="E1006" s="2859"/>
      <c r="F1006" s="2859"/>
      <c r="G1006" s="2859"/>
      <c r="H1006" s="2859"/>
      <c r="I1006" s="2859"/>
      <c r="J1006" s="2859"/>
      <c r="K1006" s="2859"/>
      <c r="L1006" s="2859"/>
      <c r="M1006" s="2859"/>
      <c r="N1006" s="2859"/>
      <c r="O1006" s="2859"/>
      <c r="P1006" s="2859"/>
      <c r="Q1006" s="2859"/>
    </row>
    <row r="1007" spans="1:17" ht="14.25">
      <c r="A1007" s="2106"/>
      <c r="B1007" s="2864" t="s">
        <v>1730</v>
      </c>
      <c r="C1007" s="2865"/>
      <c r="D1007" s="2866"/>
      <c r="E1007" s="2866"/>
      <c r="F1007" s="2866"/>
      <c r="G1007" s="2866"/>
      <c r="H1007" s="2866"/>
      <c r="I1007" s="2866"/>
      <c r="J1007" s="2866"/>
      <c r="K1007" s="2866"/>
      <c r="L1007" s="2866"/>
      <c r="M1007" s="2866"/>
      <c r="N1007" s="2866"/>
      <c r="O1007" s="2866"/>
      <c r="P1007" s="2866"/>
      <c r="Q1007" s="2866"/>
    </row>
    <row r="1008" spans="1:17" ht="14.25">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5">
      <c r="A1009" s="2109"/>
      <c r="B1009" s="2108"/>
      <c r="C1009" s="2866"/>
      <c r="D1009" s="2866"/>
      <c r="E1009" s="2866"/>
      <c r="F1009" s="2866"/>
      <c r="G1009" s="2866"/>
      <c r="H1009" s="2866"/>
      <c r="I1009" s="2866"/>
      <c r="J1009" s="2866"/>
      <c r="K1009" s="2866"/>
      <c r="L1009" s="2866"/>
      <c r="M1009" s="2866"/>
      <c r="N1009" s="2106"/>
      <c r="O1009" s="2106"/>
      <c r="P1009" s="2106"/>
      <c r="Q1009" s="2109"/>
    </row>
    <row r="1010" spans="1:17" ht="15">
      <c r="A1010" s="2109"/>
      <c r="B1010" s="2108"/>
      <c r="C1010" s="2866"/>
      <c r="D1010" s="2866"/>
      <c r="E1010" s="2866"/>
      <c r="F1010" s="2866"/>
      <c r="G1010" s="2866"/>
      <c r="H1010" s="2866"/>
      <c r="I1010" s="2866"/>
      <c r="J1010" s="2866"/>
      <c r="K1010" s="2866"/>
      <c r="L1010" s="2866"/>
      <c r="M1010" s="2866"/>
      <c r="N1010" s="2106"/>
      <c r="O1010" s="2106"/>
      <c r="P1010" s="2106"/>
      <c r="Q1010" s="2109"/>
    </row>
    <row r="1011" spans="1:17" ht="15">
      <c r="A1011" s="2862" t="s">
        <v>2080</v>
      </c>
      <c r="B1011" s="2858" t="s">
        <v>2431</v>
      </c>
      <c r="C1011" s="2858"/>
      <c r="D1011" s="2858"/>
      <c r="E1011" s="2858"/>
      <c r="F1011" s="2858"/>
      <c r="G1011" s="2858"/>
      <c r="H1011" s="2866"/>
      <c r="I1011" s="2866"/>
      <c r="J1011" s="2866"/>
      <c r="K1011" s="2866"/>
      <c r="L1011" s="2866"/>
      <c r="M1011" s="2866"/>
      <c r="N1011" s="2106"/>
      <c r="O1011" s="2863" t="s">
        <v>1731</v>
      </c>
      <c r="P1011" s="2858"/>
      <c r="Q1011" s="2858"/>
    </row>
    <row r="1012" spans="1:17" ht="15">
      <c r="A1012" s="2106"/>
      <c r="B1012" s="2867" t="s">
        <v>3239</v>
      </c>
      <c r="C1012" s="2106"/>
      <c r="D1012" s="2867"/>
      <c r="E1012" s="2867"/>
      <c r="F1012" s="2867"/>
      <c r="G1012" s="2867"/>
      <c r="H1012" s="2107"/>
      <c r="I1012" s="2108"/>
      <c r="J1012" s="2108"/>
      <c r="K1012" s="2108"/>
      <c r="L1012" s="2109"/>
      <c r="M1012" s="2109"/>
      <c r="N1012" s="2109"/>
      <c r="O1012" s="2109"/>
      <c r="P1012" s="2109"/>
      <c r="Q1012" s="2109"/>
    </row>
    <row r="1013" spans="1:17" ht="228">
      <c r="A1013" s="2859" t="str">
        <f>'Part VII-Threshold Criteria'!A162</f>
        <v>The CSDP and supplemental documents meet the requirements in the 2023 Architectual Manual.</v>
      </c>
      <c r="B1013" s="2859"/>
      <c r="C1013" s="2859"/>
      <c r="D1013" s="2859"/>
      <c r="E1013" s="2859"/>
      <c r="F1013" s="2859"/>
      <c r="G1013" s="2859"/>
      <c r="H1013" s="2859"/>
      <c r="I1013" s="2859"/>
      <c r="J1013" s="2859"/>
      <c r="K1013" s="2859"/>
      <c r="L1013" s="2859"/>
      <c r="M1013" s="2859"/>
      <c r="N1013" s="2859"/>
      <c r="O1013" s="2859"/>
      <c r="P1013" s="2859"/>
      <c r="Q1013" s="2859"/>
    </row>
    <row r="1014" spans="1:17" ht="14.25">
      <c r="A1014" s="2106"/>
      <c r="B1014" s="2864" t="s">
        <v>1730</v>
      </c>
      <c r="C1014" s="2865"/>
      <c r="D1014" s="2866"/>
      <c r="E1014" s="2866"/>
      <c r="F1014" s="2866"/>
      <c r="G1014" s="2866"/>
      <c r="H1014" s="2866"/>
      <c r="I1014" s="2866"/>
      <c r="J1014" s="2866"/>
      <c r="K1014" s="2866"/>
      <c r="L1014" s="2866"/>
      <c r="M1014" s="2866"/>
      <c r="N1014" s="2866"/>
      <c r="O1014" s="2866"/>
      <c r="P1014" s="2866"/>
      <c r="Q1014" s="2866"/>
    </row>
    <row r="1015" spans="1:17" ht="14.25">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2" t="s">
        <v>3369</v>
      </c>
      <c r="B1018" s="2862" t="s">
        <v>2432</v>
      </c>
      <c r="C1018" s="2862"/>
      <c r="D1018" s="2866"/>
      <c r="E1018" s="2866"/>
      <c r="F1018" s="2866"/>
      <c r="G1018" s="2866"/>
      <c r="H1018" s="2866"/>
      <c r="I1018" s="2866"/>
      <c r="J1018" s="2866"/>
      <c r="K1018" s="2866"/>
      <c r="L1018" s="2866"/>
      <c r="M1018" s="2866"/>
      <c r="N1018" s="2106"/>
      <c r="O1018" s="2863" t="s">
        <v>1731</v>
      </c>
      <c r="P1018" s="2858"/>
      <c r="Q1018" s="2858"/>
    </row>
    <row r="1019" spans="1:17" ht="15">
      <c r="A1019" s="2870" t="s">
        <v>1841</v>
      </c>
      <c r="B1019" s="2858" t="s">
        <v>6197</v>
      </c>
      <c r="C1019" s="2106"/>
      <c r="D1019" s="2106"/>
      <c r="E1019" s="2106"/>
      <c r="F1019" s="2106"/>
      <c r="G1019" s="2106"/>
      <c r="H1019" s="2106"/>
      <c r="I1019" s="2106"/>
      <c r="J1019" s="2106"/>
      <c r="K1019" s="2106"/>
      <c r="L1019" s="2106"/>
      <c r="M1019" s="2106"/>
      <c r="N1019" s="2106"/>
      <c r="O1019" s="2872"/>
      <c r="P1019" s="2106"/>
      <c r="Q1019" s="2106"/>
    </row>
    <row r="1020" spans="1:17" ht="15" customHeight="1">
      <c r="A1020" s="2106"/>
      <c r="B1020" s="2861" t="s">
        <v>7002</v>
      </c>
      <c r="C1020" s="2861"/>
      <c r="D1020" s="2861"/>
      <c r="E1020" s="2861"/>
      <c r="F1020" s="2861"/>
      <c r="G1020" s="2861"/>
      <c r="H1020" s="2861"/>
      <c r="I1020" s="2861"/>
      <c r="J1020" s="2861"/>
      <c r="K1020" s="2861"/>
      <c r="L1020" s="2861"/>
      <c r="M1020" s="2861"/>
      <c r="N1020" s="2861"/>
      <c r="O1020" s="2861"/>
      <c r="P1020" s="2858" t="str">
        <f>'Part VII-Threshold Criteria'!P169</f>
        <v>Agree</v>
      </c>
      <c r="Q1020" s="2858"/>
    </row>
    <row r="1021" spans="1:17" ht="15">
      <c r="A1021" s="2870" t="s">
        <v>1843</v>
      </c>
      <c r="B1021" s="2858" t="s">
        <v>297</v>
      </c>
      <c r="C1021" s="2106"/>
      <c r="D1021" s="2106"/>
      <c r="E1021" s="2106"/>
      <c r="F1021" s="2106"/>
      <c r="G1021" s="2106"/>
      <c r="H1021" s="2858" t="str">
        <f>'Part VII-Threshold Criteria'!H170</f>
        <v>HIRL National Green Building Standard - Min Bronze</v>
      </c>
      <c r="I1021" s="2858"/>
      <c r="J1021" s="2858"/>
      <c r="K1021" s="2858"/>
      <c r="L1021" s="2858"/>
      <c r="M1021" s="2858"/>
      <c r="N1021" s="2858"/>
      <c r="O1021" s="2858"/>
      <c r="P1021" s="2858"/>
      <c r="Q1021" s="2858"/>
    </row>
    <row r="1022" spans="1:17" ht="15">
      <c r="A1022" s="2870" t="s">
        <v>698</v>
      </c>
      <c r="B1022" s="2858"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0"/>
      <c r="B1023" s="2859" t="s">
        <v>6198</v>
      </c>
      <c r="C1023" s="2859"/>
      <c r="D1023" s="2859"/>
      <c r="E1023" s="2859"/>
      <c r="F1023" s="2859"/>
      <c r="G1023" s="2859"/>
      <c r="H1023" s="2859"/>
      <c r="I1023" s="2859"/>
      <c r="J1023" s="2859"/>
      <c r="K1023" s="2859"/>
      <c r="L1023" s="2859"/>
      <c r="M1023" s="2859"/>
      <c r="N1023" s="2609" t="s">
        <v>6199</v>
      </c>
      <c r="O1023" s="2872" t="s">
        <v>698</v>
      </c>
      <c r="P1023" s="2858" t="str">
        <f>'Part VII-Threshold Criteria'!P172</f>
        <v>Agree</v>
      </c>
      <c r="Q1023" s="2858"/>
    </row>
    <row r="1024" spans="1:17" ht="15">
      <c r="A1024" s="2106"/>
      <c r="B1024" s="2867" t="s">
        <v>3239</v>
      </c>
      <c r="C1024" s="2106"/>
      <c r="D1024" s="2106"/>
      <c r="E1024" s="2106"/>
      <c r="F1024" s="2106"/>
      <c r="G1024" s="2106"/>
      <c r="H1024" s="2106"/>
      <c r="I1024" s="2106"/>
      <c r="J1024" s="2106"/>
      <c r="K1024" s="2106"/>
      <c r="L1024" s="2106"/>
      <c r="M1024" s="2108"/>
      <c r="N1024" s="2108"/>
      <c r="O1024" s="2892"/>
      <c r="P1024" s="2109"/>
      <c r="Q1024" s="2106"/>
    </row>
    <row r="1025" spans="1:17" ht="256.5">
      <c r="A1025" s="2859" t="str">
        <f>'Part VII-Threshold Criteria'!A174</f>
        <v>NGBS Scoring worksheet and summary are provided in the applicaiton. The applicant has completed the Building Sustainability training.</v>
      </c>
      <c r="B1025" s="2859"/>
      <c r="C1025" s="2859"/>
      <c r="D1025" s="2859"/>
      <c r="E1025" s="2859"/>
      <c r="F1025" s="2859"/>
      <c r="G1025" s="2859"/>
      <c r="H1025" s="2859"/>
      <c r="I1025" s="2859"/>
      <c r="J1025" s="2859"/>
      <c r="K1025" s="2859"/>
      <c r="L1025" s="2859"/>
      <c r="M1025" s="2859"/>
      <c r="N1025" s="2859"/>
      <c r="O1025" s="2859"/>
      <c r="P1025" s="2859"/>
      <c r="Q1025" s="2859"/>
    </row>
    <row r="1026" spans="1:17" ht="14.25">
      <c r="A1026" s="2106"/>
      <c r="B1026" s="2864" t="s">
        <v>1730</v>
      </c>
      <c r="C1026" s="2865"/>
      <c r="D1026" s="2866"/>
      <c r="E1026" s="2866"/>
      <c r="F1026" s="2866"/>
      <c r="G1026" s="2866"/>
      <c r="H1026" s="2866"/>
      <c r="I1026" s="2866"/>
      <c r="J1026" s="2866"/>
      <c r="K1026" s="2866"/>
      <c r="L1026" s="2866"/>
      <c r="M1026" s="2866"/>
      <c r="N1026" s="2866"/>
      <c r="O1026" s="2866"/>
      <c r="P1026" s="2866"/>
      <c r="Q1026" s="2866"/>
    </row>
    <row r="1027" spans="1:17" ht="14.25">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5">
      <c r="A1028" s="2106"/>
      <c r="B1028" s="2106"/>
      <c r="C1028" s="2106"/>
      <c r="D1028" s="2106"/>
      <c r="E1028" s="2106"/>
      <c r="F1028" s="2109"/>
      <c r="G1028" s="2109"/>
      <c r="H1028" s="2109"/>
      <c r="I1028" s="2109"/>
      <c r="J1028" s="2107"/>
      <c r="K1028" s="2107"/>
      <c r="L1028" s="2107"/>
      <c r="M1028" s="2108"/>
      <c r="N1028" s="2109"/>
      <c r="O1028" s="2109"/>
      <c r="P1028" s="2892"/>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2"/>
      <c r="Q1029" s="2106"/>
    </row>
    <row r="1030" spans="1:17" ht="15">
      <c r="A1030" s="2862" t="s">
        <v>3370</v>
      </c>
      <c r="B1030" s="2862" t="s">
        <v>2433</v>
      </c>
      <c r="C1030" s="2893"/>
      <c r="D1030" s="2893"/>
      <c r="E1030" s="2866"/>
      <c r="F1030" s="2866"/>
      <c r="G1030" s="2866"/>
      <c r="H1030" s="2866"/>
      <c r="I1030" s="2866"/>
      <c r="J1030" s="2866"/>
      <c r="K1030" s="2866"/>
      <c r="L1030" s="2866"/>
      <c r="M1030" s="2866"/>
      <c r="N1030" s="2106"/>
      <c r="O1030" s="2863" t="s">
        <v>1731</v>
      </c>
      <c r="P1030" s="2858"/>
      <c r="Q1030" s="2858"/>
    </row>
    <row r="1031" spans="1:17" ht="15">
      <c r="A1031" s="2106"/>
      <c r="B1031" s="2106" t="s">
        <v>6802</v>
      </c>
      <c r="C1031" s="2106"/>
      <c r="D1031" s="2106"/>
      <c r="E1031" s="2106"/>
      <c r="F1031" s="2106"/>
      <c r="G1031" s="2106"/>
      <c r="H1031" s="2106"/>
      <c r="I1031" s="2106"/>
      <c r="J1031" s="2106"/>
      <c r="K1031" s="2106"/>
      <c r="L1031" s="2106"/>
      <c r="M1031" s="2106"/>
      <c r="N1031" s="2108"/>
      <c r="O1031" s="2106"/>
      <c r="P1031" s="2858" t="str">
        <f>'Part VII-Threshold Criteria'!P180</f>
        <v>No</v>
      </c>
      <c r="Q1031" s="2858"/>
    </row>
    <row r="1032" spans="1:17" ht="15" customHeight="1">
      <c r="A1032" s="2106"/>
      <c r="B1032" s="2859" t="s">
        <v>7003</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5">
      <c r="A1033" s="2106"/>
      <c r="B1033" s="2106"/>
      <c r="C1033" s="2106"/>
      <c r="D1033" s="2106"/>
      <c r="E1033" s="2106"/>
      <c r="F1033" s="2106"/>
      <c r="G1033" s="2106"/>
      <c r="H1033" s="2106"/>
      <c r="I1033" s="2106"/>
      <c r="J1033" s="2106"/>
      <c r="K1033" s="2106"/>
      <c r="L1033" s="2894" t="s">
        <v>6805</v>
      </c>
      <c r="M1033" s="2894"/>
      <c r="N1033" s="2108"/>
      <c r="O1033" s="2106"/>
      <c r="P1033" s="2109"/>
      <c r="Q1033" s="2109"/>
    </row>
    <row r="1034" spans="1:17" ht="15">
      <c r="A1034" s="2870" t="s">
        <v>1843</v>
      </c>
      <c r="B1034" s="2862" t="s">
        <v>3292</v>
      </c>
      <c r="C1034" s="2106"/>
      <c r="D1034" s="2895"/>
      <c r="E1034" s="2895"/>
      <c r="F1034" s="2895"/>
      <c r="G1034" s="2895"/>
      <c r="H1034" s="2895"/>
      <c r="I1034" s="2895"/>
      <c r="J1034" s="2895"/>
      <c r="K1034" s="2895"/>
      <c r="L1034" s="2106" t="s">
        <v>6806</v>
      </c>
      <c r="M1034" s="2108" t="s">
        <v>6807</v>
      </c>
      <c r="N1034" s="2895"/>
      <c r="O1034" s="2872"/>
      <c r="P1034" s="2872"/>
      <c r="Q1034" s="2872"/>
    </row>
    <row r="1035" spans="1:17" ht="15">
      <c r="A1035" s="2870"/>
      <c r="B1035" s="2106" t="s">
        <v>6808</v>
      </c>
      <c r="C1035" s="2106"/>
      <c r="D1035" s="2859"/>
      <c r="E1035" s="2859"/>
      <c r="F1035" s="2859"/>
      <c r="G1035" s="2859"/>
      <c r="H1035" s="2106"/>
      <c r="I1035" s="2106"/>
      <c r="J1035" s="2106"/>
      <c r="K1035" s="2610"/>
      <c r="L1035" s="2896">
        <f>ROUNDUP('Part V-Revenues &amp; Expenses'!$P$67*M1035,0)</f>
        <v>5</v>
      </c>
      <c r="M1035" s="2897">
        <f>'DCA Underwriting Assumptions'!$Q$122</f>
        <v>0.05</v>
      </c>
      <c r="N1035" s="2106"/>
      <c r="O1035" s="2872"/>
      <c r="P1035" s="2858">
        <f>'Part VII-Threshold Criteria'!P184</f>
        <v>5</v>
      </c>
      <c r="Q1035" s="2858"/>
    </row>
    <row r="1036" spans="1:17" ht="15" customHeight="1">
      <c r="A1036" s="2870"/>
      <c r="B1036" s="2107"/>
      <c r="C1036" s="2106"/>
      <c r="D1036" s="2859" t="s">
        <v>6809</v>
      </c>
      <c r="E1036" s="2859"/>
      <c r="F1036" s="2859"/>
      <c r="G1036" s="2859"/>
      <c r="H1036" s="2859"/>
      <c r="I1036" s="2859"/>
      <c r="J1036" s="2859"/>
      <c r="K1036" s="2610"/>
      <c r="L1036" s="2896">
        <f>ROUNDUP(L1035*M1036,0)</f>
        <v>2</v>
      </c>
      <c r="M1036" s="2897">
        <f>'DCA Underwriting Assumptions'!$Q$123</f>
        <v>0.4</v>
      </c>
      <c r="N1036" s="2106"/>
      <c r="O1036" s="2872"/>
      <c r="P1036" s="2858">
        <f>'Part VII-Threshold Criteria'!P185</f>
        <v>2</v>
      </c>
      <c r="Q1036" s="2858"/>
    </row>
    <row r="1037" spans="1:17" ht="15" customHeight="1">
      <c r="A1037" s="2870"/>
      <c r="B1037" s="2859" t="s">
        <v>6810</v>
      </c>
      <c r="C1037" s="2859"/>
      <c r="D1037" s="2859"/>
      <c r="E1037" s="2859"/>
      <c r="F1037" s="2859"/>
      <c r="G1037" s="2859"/>
      <c r="H1037" s="2859"/>
      <c r="I1037" s="2859"/>
      <c r="J1037" s="2859"/>
      <c r="K1037" s="2106"/>
      <c r="L1037" s="2896">
        <f>ROUNDUP('Part V-Revenues &amp; Expenses'!$P$67*M1037,0)</f>
        <v>2</v>
      </c>
      <c r="M1037" s="2897">
        <f>'DCA Underwriting Assumptions'!$Q$124</f>
        <v>0.02</v>
      </c>
      <c r="N1037" s="2106"/>
      <c r="O1037" s="2872"/>
      <c r="P1037" s="2858">
        <f>'Part VII-Threshold Criteria'!P186</f>
        <v>2</v>
      </c>
      <c r="Q1037" s="2858"/>
    </row>
    <row r="1038" spans="1:17" ht="15">
      <c r="A1038" s="2106"/>
      <c r="B1038" s="2867" t="s">
        <v>3239</v>
      </c>
      <c r="C1038" s="2106"/>
      <c r="D1038" s="2867"/>
      <c r="E1038" s="2867"/>
      <c r="F1038" s="2867"/>
      <c r="G1038" s="2867"/>
      <c r="H1038" s="2107"/>
      <c r="I1038" s="2108"/>
      <c r="J1038" s="2108"/>
      <c r="K1038" s="2108"/>
      <c r="L1038" s="2109"/>
      <c r="M1038" s="2109"/>
      <c r="N1038" s="2109"/>
      <c r="O1038" s="2109"/>
      <c r="P1038" s="2109"/>
      <c r="Q1038" s="2109"/>
    </row>
    <row r="1039" spans="1:17" ht="356.25">
      <c r="A1039" s="2859" t="str">
        <f>'Part VII-Threshold Criteria'!A188</f>
        <v>The development will comply with all standards mentioned above and will contract with a DCA qualified accessibility consultant during design and construction.</v>
      </c>
      <c r="B1039" s="2859"/>
      <c r="C1039" s="2859"/>
      <c r="D1039" s="2859"/>
      <c r="E1039" s="2859"/>
      <c r="F1039" s="2859"/>
      <c r="G1039" s="2859"/>
      <c r="H1039" s="2859"/>
      <c r="I1039" s="2859"/>
      <c r="J1039" s="2859"/>
      <c r="K1039" s="2859"/>
      <c r="L1039" s="2859"/>
      <c r="M1039" s="2859"/>
      <c r="N1039" s="2859"/>
      <c r="O1039" s="2859"/>
      <c r="P1039" s="2859"/>
      <c r="Q1039" s="2859"/>
    </row>
    <row r="1040" spans="1:17" ht="14.25">
      <c r="A1040" s="2106"/>
      <c r="B1040" s="2864" t="s">
        <v>1730</v>
      </c>
      <c r="C1040" s="2865"/>
      <c r="D1040" s="2866"/>
      <c r="E1040" s="2866"/>
      <c r="F1040" s="2866"/>
      <c r="G1040" s="2866"/>
      <c r="H1040" s="2866"/>
      <c r="I1040" s="2866"/>
      <c r="J1040" s="2866"/>
      <c r="K1040" s="2866"/>
      <c r="L1040" s="2866"/>
      <c r="M1040" s="2866"/>
      <c r="N1040" s="2866"/>
      <c r="O1040" s="2866"/>
      <c r="P1040" s="2866"/>
      <c r="Q1040" s="2866"/>
    </row>
    <row r="1041" spans="1:17" ht="14.25">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4.25">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4.25">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5">
      <c r="A1044" s="2862" t="s">
        <v>3368</v>
      </c>
      <c r="B1044" s="2858" t="s">
        <v>2434</v>
      </c>
      <c r="C1044" s="2858"/>
      <c r="D1044" s="2858"/>
      <c r="E1044" s="2858"/>
      <c r="F1044" s="2858"/>
      <c r="G1044" s="2858"/>
      <c r="H1044" s="2866"/>
      <c r="I1044" s="2866"/>
      <c r="J1044" s="2866"/>
      <c r="K1044" s="2866"/>
      <c r="L1044" s="2866"/>
      <c r="M1044" s="2866"/>
      <c r="N1044" s="2106"/>
      <c r="O1044" s="2863" t="s">
        <v>1731</v>
      </c>
      <c r="P1044" s="2858"/>
      <c r="Q1044" s="2858"/>
    </row>
    <row r="1045" spans="1:17" ht="15">
      <c r="A1045" s="2106"/>
      <c r="B1045" s="2106" t="s">
        <v>6802</v>
      </c>
      <c r="C1045" s="2106"/>
      <c r="D1045" s="2106"/>
      <c r="E1045" s="2106"/>
      <c r="F1045" s="2106"/>
      <c r="G1045" s="2106"/>
      <c r="H1045" s="2106"/>
      <c r="I1045" s="2106"/>
      <c r="J1045" s="2106"/>
      <c r="K1045" s="2106"/>
      <c r="L1045" s="2106"/>
      <c r="M1045" s="2106"/>
      <c r="N1045" s="2106"/>
      <c r="O1045" s="2106"/>
      <c r="P1045" s="2858" t="str">
        <f>'Part VII-Threshold Criteria'!P194</f>
        <v>No</v>
      </c>
      <c r="Q1045" s="2858"/>
    </row>
    <row r="1046" spans="1:17" ht="15" customHeight="1">
      <c r="A1046" s="2106"/>
      <c r="B1046" s="2859" t="s">
        <v>7004</v>
      </c>
      <c r="C1046" s="2859"/>
      <c r="D1046" s="2859"/>
      <c r="E1046" s="2859"/>
      <c r="F1046" s="2859"/>
      <c r="G1046" s="2859"/>
      <c r="H1046" s="2859"/>
      <c r="I1046" s="2859"/>
      <c r="J1046" s="2859"/>
      <c r="K1046" s="2859"/>
      <c r="L1046" s="2859"/>
      <c r="M1046" s="2859"/>
      <c r="N1046" s="2859"/>
      <c r="O1046" s="2106"/>
      <c r="P1046" s="2858" t="str">
        <f>'Part VII-Threshold Criteria'!P195</f>
        <v>Yes</v>
      </c>
      <c r="Q1046" s="2858"/>
    </row>
    <row r="1047" spans="1:17" ht="15">
      <c r="A1047" s="2870" t="s">
        <v>1843</v>
      </c>
      <c r="B1047" s="2858" t="s">
        <v>433</v>
      </c>
      <c r="C1047" s="2106"/>
      <c r="D1047" s="2858"/>
      <c r="E1047" s="2858"/>
      <c r="F1047" s="2858"/>
      <c r="G1047" s="2858"/>
      <c r="H1047" s="2858"/>
      <c r="I1047" s="2858"/>
      <c r="J1047" s="2858"/>
      <c r="K1047" s="2858"/>
      <c r="L1047" s="2858"/>
      <c r="M1047" s="2858"/>
      <c r="N1047" s="2106"/>
      <c r="O1047" s="2872"/>
      <c r="P1047" s="2109"/>
      <c r="Q1047" s="2109"/>
    </row>
    <row r="1048" spans="1:17" ht="14.25" customHeight="1">
      <c r="A1048" s="2106"/>
      <c r="B1048" s="2882" t="s">
        <v>1614</v>
      </c>
      <c r="C1048" s="2861" t="s">
        <v>6911</v>
      </c>
      <c r="D1048" s="2861"/>
      <c r="E1048" s="2861"/>
      <c r="F1048" s="286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1"/>
      <c r="H1048" s="2861"/>
      <c r="I1048" s="2861"/>
      <c r="J1048" s="2861"/>
      <c r="K1048" s="2861"/>
      <c r="L1048" s="2861"/>
      <c r="M1048" s="2861"/>
      <c r="N1048" s="2861"/>
      <c r="O1048" s="2861"/>
      <c r="P1048" s="2861"/>
      <c r="Q1048" s="2861"/>
    </row>
    <row r="1049" spans="1:17" ht="14.25" customHeight="1">
      <c r="A1049" s="2106"/>
      <c r="B1049" s="2882" t="s">
        <v>1615</v>
      </c>
      <c r="C1049" s="2861" t="s">
        <v>6912</v>
      </c>
      <c r="D1049" s="2861"/>
      <c r="E1049" s="2861"/>
      <c r="F1049" s="2861"/>
      <c r="G1049" s="2861"/>
      <c r="H1049" s="2861" t="str">
        <f>'Part VII-Threshold Criteria'!H198</f>
        <v xml:space="preserve">Fiber cement siding or other 30 year warranty product installed on all exterior wall surfaces not already required to be brick </v>
      </c>
      <c r="I1049" s="2861"/>
      <c r="J1049" s="2861"/>
      <c r="K1049" s="2861"/>
      <c r="L1049" s="2861"/>
      <c r="M1049" s="2861"/>
      <c r="N1049" s="2861"/>
      <c r="O1049" s="2861"/>
      <c r="P1049" s="2861"/>
      <c r="Q1049" s="2861"/>
    </row>
    <row r="1050" spans="1:17" ht="15" customHeight="1">
      <c r="A1050" s="2870"/>
      <c r="B1050" s="2882" t="s">
        <v>1616</v>
      </c>
      <c r="C1050" s="2859" t="s">
        <v>6812</v>
      </c>
      <c r="D1050" s="2859"/>
      <c r="E1050" s="2859"/>
      <c r="F1050" s="2859"/>
      <c r="G1050" s="2859"/>
      <c r="H1050" s="2859"/>
      <c r="I1050" s="2859"/>
      <c r="J1050" s="2859"/>
      <c r="K1050" s="2859"/>
      <c r="L1050" s="2859"/>
      <c r="M1050" s="2859"/>
      <c r="N1050" s="2859"/>
      <c r="O1050" s="2859"/>
      <c r="P1050" s="2859"/>
      <c r="Q1050" s="2859"/>
    </row>
    <row r="1051" spans="1:17" ht="15">
      <c r="A1051" s="2870"/>
      <c r="B1051" s="2872"/>
      <c r="C1051" s="2859">
        <f>'Part VII-Threshold Criteria'!C200</f>
        <v>0</v>
      </c>
      <c r="D1051" s="2859"/>
      <c r="E1051" s="2859"/>
      <c r="F1051" s="2859"/>
      <c r="G1051" s="2859"/>
      <c r="H1051" s="2859"/>
      <c r="I1051" s="2859"/>
      <c r="J1051" s="2859"/>
      <c r="K1051" s="2859"/>
      <c r="L1051" s="2859"/>
      <c r="M1051" s="2859"/>
      <c r="N1051" s="2859"/>
      <c r="O1051" s="2859"/>
      <c r="P1051" s="2859"/>
      <c r="Q1051" s="2859"/>
    </row>
    <row r="1052" spans="1:17" ht="15">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5">
      <c r="A1053" s="2106"/>
      <c r="B1053" s="2867" t="s">
        <v>3239</v>
      </c>
      <c r="C1053" s="2106"/>
      <c r="D1053" s="2867"/>
      <c r="E1053" s="2867"/>
      <c r="F1053" s="2867"/>
      <c r="G1053" s="2867"/>
      <c r="H1053" s="2107"/>
      <c r="I1053" s="2108"/>
      <c r="J1053" s="2108"/>
      <c r="K1053" s="2108"/>
      <c r="L1053" s="2109"/>
      <c r="M1053" s="2109"/>
      <c r="N1053" s="2109"/>
      <c r="O1053" s="2109"/>
      <c r="P1053" s="2109"/>
      <c r="Q1053" s="2109"/>
    </row>
    <row r="1054" spans="1:17" ht="299.25">
      <c r="A1054" s="2859" t="str">
        <f>'Part VII-Threshold Criteria'!A203</f>
        <v>The development will comply with all standards mentioned above as well as all other requirements in the 2023 Architectual Manual</v>
      </c>
      <c r="B1054" s="2859"/>
      <c r="C1054" s="2859"/>
      <c r="D1054" s="2859"/>
      <c r="E1054" s="2859"/>
      <c r="F1054" s="2859"/>
      <c r="G1054" s="2859"/>
      <c r="H1054" s="2859"/>
      <c r="I1054" s="2859"/>
      <c r="J1054" s="2859"/>
      <c r="K1054" s="2859"/>
      <c r="L1054" s="2859"/>
      <c r="M1054" s="2859"/>
      <c r="N1054" s="2859"/>
      <c r="O1054" s="2859"/>
      <c r="P1054" s="2859"/>
      <c r="Q1054" s="2859"/>
    </row>
    <row r="1055" spans="1:17" ht="14.25">
      <c r="A1055" s="2106"/>
      <c r="B1055" s="2864" t="s">
        <v>1730</v>
      </c>
      <c r="C1055" s="2865"/>
      <c r="D1055" s="2866"/>
      <c r="E1055" s="2866"/>
      <c r="F1055" s="2866"/>
      <c r="G1055" s="2866"/>
      <c r="H1055" s="2866"/>
      <c r="I1055" s="2866"/>
      <c r="J1055" s="2866"/>
      <c r="K1055" s="2866"/>
      <c r="L1055" s="2866"/>
      <c r="M1055" s="2866"/>
      <c r="N1055" s="2866"/>
      <c r="O1055" s="2866"/>
      <c r="P1055" s="2866"/>
      <c r="Q1055" s="2866"/>
    </row>
    <row r="1056" spans="1:17" ht="14.25">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4.25">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4.25">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5">
      <c r="A1059" s="2862" t="s">
        <v>3371</v>
      </c>
      <c r="B1059" s="2862" t="s">
        <v>6532</v>
      </c>
      <c r="C1059" s="2862"/>
      <c r="D1059" s="2866"/>
      <c r="E1059" s="2866"/>
      <c r="F1059" s="2866"/>
      <c r="G1059" s="2866"/>
      <c r="H1059" s="2866"/>
      <c r="I1059" s="2106"/>
      <c r="J1059" s="2106"/>
      <c r="K1059" s="2106"/>
      <c r="L1059" s="2106"/>
      <c r="M1059" s="2106"/>
      <c r="N1059" s="2106"/>
      <c r="O1059" s="2863" t="s">
        <v>1731</v>
      </c>
      <c r="P1059" s="2858"/>
      <c r="Q1059" s="2858"/>
    </row>
    <row r="1060" spans="1:17" ht="15">
      <c r="A1060" s="2870"/>
      <c r="B1060" s="2106" t="s">
        <v>6813</v>
      </c>
      <c r="C1060" s="2106"/>
      <c r="D1060" s="2106"/>
      <c r="E1060" s="2106"/>
      <c r="F1060" s="2106"/>
      <c r="G1060" s="2106"/>
      <c r="H1060" s="2106"/>
      <c r="I1060" s="2106"/>
      <c r="J1060" s="2106"/>
      <c r="K1060" s="2106"/>
      <c r="L1060" s="2106"/>
      <c r="M1060" s="2106"/>
      <c r="N1060" s="2106"/>
      <c r="O1060" s="2872"/>
      <c r="P1060" s="2106" t="str">
        <f>'Part VII-Threshold Criteria'!P209</f>
        <v>Yes - see Comment</v>
      </c>
      <c r="Q1060" s="2106"/>
    </row>
    <row r="1061" spans="1:17" ht="15">
      <c r="A1061" s="2870"/>
      <c r="B1061" s="2106" t="s">
        <v>6814</v>
      </c>
      <c r="C1061" s="2106"/>
      <c r="D1061" s="2106"/>
      <c r="E1061" s="2106"/>
      <c r="F1061" s="2106"/>
      <c r="G1061" s="2106"/>
      <c r="H1061" s="2106"/>
      <c r="I1061" s="2106"/>
      <c r="J1061" s="2106"/>
      <c r="K1061" s="2106"/>
      <c r="L1061" s="2106"/>
      <c r="M1061" s="2106"/>
      <c r="N1061" s="2106"/>
      <c r="O1061" s="2872"/>
      <c r="P1061" s="2106" t="str">
        <f>'Part VII-Threshold Criteria'!P210</f>
        <v>Yes - see Comment</v>
      </c>
      <c r="Q1061" s="2106"/>
    </row>
    <row r="1062" spans="1:17" ht="15">
      <c r="A1062" s="2870"/>
      <c r="B1062" s="2106" t="s">
        <v>6815</v>
      </c>
      <c r="C1062" s="2106"/>
      <c r="D1062" s="2106"/>
      <c r="E1062" s="2106"/>
      <c r="F1062" s="2106"/>
      <c r="G1062" s="2106"/>
      <c r="H1062" s="2106"/>
      <c r="I1062" s="2106"/>
      <c r="J1062" s="2106"/>
      <c r="K1062" s="2108"/>
      <c r="L1062" s="2106"/>
      <c r="M1062" s="2872"/>
      <c r="N1062" s="2106"/>
      <c r="O1062" s="2106"/>
      <c r="P1062" s="2106" t="str">
        <f>'Part VII-Threshold Criteria'!P211</f>
        <v>No</v>
      </c>
      <c r="Q1062" s="2106"/>
    </row>
    <row r="1063" spans="1:17" ht="15" customHeight="1">
      <c r="A1063" s="2870"/>
      <c r="B1063" s="2859" t="s">
        <v>6816</v>
      </c>
      <c r="C1063" s="2859"/>
      <c r="D1063" s="2859"/>
      <c r="E1063" s="2859"/>
      <c r="F1063" s="2859"/>
      <c r="G1063" s="2859"/>
      <c r="H1063" s="2859"/>
      <c r="I1063" s="2859"/>
      <c r="J1063" s="2859"/>
      <c r="K1063" s="2859"/>
      <c r="L1063" s="2859"/>
      <c r="M1063" s="2859"/>
      <c r="N1063" s="2859"/>
      <c r="O1063" s="2859"/>
      <c r="P1063" s="2106" t="str">
        <f>'Part VII-Threshold Criteria'!P212</f>
        <v>No</v>
      </c>
      <c r="Q1063" s="2106"/>
    </row>
    <row r="1064" spans="1:17" ht="15">
      <c r="A1064" s="2870"/>
      <c r="B1064" s="2106" t="s">
        <v>6817</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0"/>
      <c r="B1065" s="2858" t="s">
        <v>6818</v>
      </c>
      <c r="C1065" s="2106"/>
      <c r="D1065" s="2106"/>
      <c r="E1065" s="2106"/>
      <c r="F1065" s="2106"/>
      <c r="G1065" s="2858"/>
      <c r="H1065" s="2858"/>
      <c r="I1065" s="2858"/>
      <c r="J1065" s="2858"/>
      <c r="K1065" s="2858"/>
      <c r="L1065" s="2858"/>
      <c r="M1065" s="2106"/>
      <c r="N1065" s="2106"/>
      <c r="O1065" s="2106"/>
      <c r="P1065" s="2106"/>
      <c r="Q1065" s="2106"/>
    </row>
    <row r="1066" spans="1:17" ht="15">
      <c r="A1066" s="2106"/>
      <c r="B1066" s="2867" t="s">
        <v>3239</v>
      </c>
      <c r="C1066" s="2106"/>
      <c r="D1066" s="2867"/>
      <c r="E1066" s="2867"/>
      <c r="F1066" s="2867"/>
      <c r="G1066" s="2867"/>
      <c r="H1066" s="2107"/>
      <c r="I1066" s="2108"/>
      <c r="J1066" s="2108"/>
      <c r="K1066" s="2108"/>
      <c r="L1066" s="2109"/>
      <c r="M1066" s="2109"/>
      <c r="N1066" s="2109"/>
      <c r="O1066" s="2109"/>
      <c r="P1066" s="2109"/>
      <c r="Q1066" s="2109"/>
    </row>
    <row r="1067" spans="1:17" ht="399">
      <c r="A1067" s="2859" t="str">
        <f>'Part VII-Threshold Criteria'!A216</f>
        <v>The applicant was deemed qualified in 2022 and was deemed qualified during the 2023 Pre-Application process. That qualification letter is included in Folder 19 of this application.</v>
      </c>
      <c r="B1067" s="2859"/>
      <c r="C1067" s="2859"/>
      <c r="D1067" s="2859"/>
      <c r="E1067" s="2859"/>
      <c r="F1067" s="2859"/>
      <c r="G1067" s="2859"/>
      <c r="H1067" s="2859"/>
      <c r="I1067" s="2859"/>
      <c r="J1067" s="2859"/>
      <c r="K1067" s="2859"/>
      <c r="L1067" s="2859"/>
      <c r="M1067" s="2859"/>
      <c r="N1067" s="2859"/>
      <c r="O1067" s="2859"/>
      <c r="P1067" s="2859"/>
      <c r="Q1067" s="2859"/>
    </row>
    <row r="1068" spans="1:17" ht="14.25">
      <c r="A1068" s="2106"/>
      <c r="B1068" s="2864" t="s">
        <v>1730</v>
      </c>
      <c r="C1068" s="2865"/>
      <c r="D1068" s="2866"/>
      <c r="E1068" s="2866"/>
      <c r="F1068" s="2866"/>
      <c r="G1068" s="2866"/>
      <c r="H1068" s="2866"/>
      <c r="I1068" s="2866"/>
      <c r="J1068" s="2866"/>
      <c r="K1068" s="2866"/>
      <c r="L1068" s="2866"/>
      <c r="M1068" s="2866"/>
      <c r="N1068" s="2866"/>
      <c r="O1068" s="2106"/>
      <c r="P1068" s="2866"/>
      <c r="Q1068" s="2866"/>
    </row>
    <row r="1069" spans="1:17" ht="14.25">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5">
      <c r="A1070" s="2109"/>
      <c r="B1070" s="2108"/>
      <c r="C1070" s="2866"/>
      <c r="D1070" s="2866"/>
      <c r="E1070" s="2866"/>
      <c r="F1070" s="2866"/>
      <c r="G1070" s="2866"/>
      <c r="H1070" s="2866"/>
      <c r="I1070" s="2866"/>
      <c r="J1070" s="2866"/>
      <c r="K1070" s="2866"/>
      <c r="L1070" s="2866"/>
      <c r="M1070" s="2866"/>
      <c r="N1070" s="2866"/>
      <c r="O1070" s="2866"/>
      <c r="P1070" s="2866"/>
      <c r="Q1070" s="2109"/>
    </row>
    <row r="1071" spans="1:17" ht="15">
      <c r="A1071" s="2109"/>
      <c r="B1071" s="2108"/>
      <c r="C1071" s="2866"/>
      <c r="D1071" s="2866"/>
      <c r="E1071" s="2866"/>
      <c r="F1071" s="2866"/>
      <c r="G1071" s="2866"/>
      <c r="H1071" s="2866"/>
      <c r="I1071" s="2866"/>
      <c r="J1071" s="2866"/>
      <c r="K1071" s="2866"/>
      <c r="L1071" s="2866"/>
      <c r="M1071" s="2866"/>
      <c r="N1071" s="2866"/>
      <c r="O1071" s="2866"/>
      <c r="P1071" s="2866"/>
      <c r="Q1071" s="2109"/>
    </row>
    <row r="1072" spans="1:17" ht="15">
      <c r="A1072" s="2862" t="s">
        <v>3372</v>
      </c>
      <c r="B1072" s="2858" t="s">
        <v>6538</v>
      </c>
      <c r="C1072" s="2858"/>
      <c r="D1072" s="2858"/>
      <c r="E1072" s="2858"/>
      <c r="F1072" s="2858"/>
      <c r="G1072" s="2858"/>
      <c r="H1072" s="2866"/>
      <c r="I1072" s="2866"/>
      <c r="J1072" s="2866"/>
      <c r="K1072" s="2866"/>
      <c r="L1072" s="2866"/>
      <c r="M1072" s="2866"/>
      <c r="N1072" s="2872"/>
      <c r="O1072" s="2863" t="s">
        <v>1731</v>
      </c>
      <c r="P1072" s="2858"/>
      <c r="Q1072" s="2858"/>
    </row>
    <row r="1073" spans="1:17" ht="15" customHeight="1">
      <c r="A1073" s="2862"/>
      <c r="B1073" s="2859" t="s">
        <v>6819</v>
      </c>
      <c r="C1073" s="2859"/>
      <c r="D1073" s="2859"/>
      <c r="E1073" s="2859"/>
      <c r="F1073" s="2859"/>
      <c r="G1073" s="2859"/>
      <c r="H1073" s="2859"/>
      <c r="I1073" s="2859"/>
      <c r="J1073" s="2859"/>
      <c r="K1073" s="2859"/>
      <c r="L1073" s="2859"/>
      <c r="M1073" s="2859"/>
      <c r="N1073" s="2859"/>
      <c r="O1073" s="2859"/>
      <c r="P1073" s="2106">
        <f>'Part VII-Threshold Criteria'!P222</f>
        <v>0</v>
      </c>
      <c r="Q1073" s="2106"/>
    </row>
    <row r="1074" spans="1:17" ht="15" customHeight="1">
      <c r="A1074" s="2876" t="s">
        <v>1841</v>
      </c>
      <c r="B1074" s="2898" t="s">
        <v>7005</v>
      </c>
      <c r="C1074" s="2898"/>
      <c r="D1074" s="2898"/>
      <c r="E1074" s="2898"/>
      <c r="F1074" s="2898"/>
      <c r="G1074" s="2898"/>
      <c r="H1074" s="2898"/>
      <c r="I1074" s="2898"/>
      <c r="J1074" s="2898"/>
      <c r="K1074" s="2898"/>
      <c r="L1074" s="2898"/>
      <c r="M1074" s="2898"/>
      <c r="N1074" s="2898"/>
      <c r="O1074" s="2898"/>
      <c r="P1074" s="2109">
        <f>'Part VII-Threshold Criteria'!P223</f>
        <v>0</v>
      </c>
      <c r="Q1074" s="2862"/>
    </row>
    <row r="1075" spans="1:17" ht="15" customHeight="1">
      <c r="A1075" s="2876" t="s">
        <v>1843</v>
      </c>
      <c r="B1075" s="2861" t="s">
        <v>7006</v>
      </c>
      <c r="C1075" s="2861"/>
      <c r="D1075" s="2861"/>
      <c r="E1075" s="2861"/>
      <c r="F1075" s="2861"/>
      <c r="G1075" s="2861"/>
      <c r="H1075" s="2861"/>
      <c r="I1075" s="2861"/>
      <c r="J1075" s="2861"/>
      <c r="K1075" s="2861"/>
      <c r="L1075" s="2861"/>
      <c r="M1075" s="2861"/>
      <c r="N1075" s="2861"/>
      <c r="O1075" s="2861"/>
      <c r="P1075" s="2109">
        <f>'Part VII-Threshold Criteria'!P224</f>
        <v>0</v>
      </c>
      <c r="Q1075" s="2109"/>
    </row>
    <row r="1076" spans="1:17" ht="15">
      <c r="A1076" s="2870" t="s">
        <v>698</v>
      </c>
      <c r="B1076" s="2106" t="s">
        <v>7007</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6" t="s">
        <v>1962</v>
      </c>
      <c r="B1077" s="2861" t="s">
        <v>7008</v>
      </c>
      <c r="C1077" s="2861"/>
      <c r="D1077" s="2861"/>
      <c r="E1077" s="2861"/>
      <c r="F1077" s="2861"/>
      <c r="G1077" s="2861"/>
      <c r="H1077" s="2861"/>
      <c r="I1077" s="2861"/>
      <c r="J1077" s="2861"/>
      <c r="K1077" s="2861"/>
      <c r="L1077" s="2861"/>
      <c r="M1077" s="2861"/>
      <c r="N1077" s="2861"/>
      <c r="O1077" s="2861"/>
      <c r="P1077" s="2109">
        <f>'Part VII-Threshold Criteria'!P226</f>
        <v>0</v>
      </c>
      <c r="Q1077" s="2109"/>
    </row>
    <row r="1078" spans="1:17" ht="15">
      <c r="A1078" s="2106"/>
      <c r="B1078" s="2867" t="s">
        <v>3239</v>
      </c>
      <c r="C1078" s="2106"/>
      <c r="D1078" s="2867"/>
      <c r="E1078" s="2867"/>
      <c r="F1078" s="2867"/>
      <c r="G1078" s="2867"/>
      <c r="H1078" s="2107"/>
      <c r="I1078" s="2108"/>
      <c r="J1078" s="2108"/>
      <c r="K1078" s="2108"/>
      <c r="L1078" s="2109"/>
      <c r="M1078" s="2109"/>
      <c r="N1078" s="2109"/>
      <c r="O1078" s="2109"/>
      <c r="P1078" s="2109"/>
      <c r="Q1078" s="2109"/>
    </row>
    <row r="1079" spans="1:17" ht="42.75">
      <c r="A1079" s="2859" t="str">
        <f>'Part VII-Threshold Criteria'!A228</f>
        <v>This section is NA</v>
      </c>
      <c r="B1079" s="2859"/>
      <c r="C1079" s="2859"/>
      <c r="D1079" s="2859"/>
      <c r="E1079" s="2859"/>
      <c r="F1079" s="2859"/>
      <c r="G1079" s="2859"/>
      <c r="H1079" s="2859"/>
      <c r="I1079" s="2859"/>
      <c r="J1079" s="2859"/>
      <c r="K1079" s="2859"/>
      <c r="L1079" s="2859"/>
      <c r="M1079" s="2859"/>
      <c r="N1079" s="2859"/>
      <c r="O1079" s="2859"/>
      <c r="P1079" s="2859"/>
      <c r="Q1079" s="2859"/>
    </row>
    <row r="1080" spans="1:17" ht="14.25">
      <c r="A1080" s="2106"/>
      <c r="B1080" s="2864" t="s">
        <v>1730</v>
      </c>
      <c r="C1080" s="2865"/>
      <c r="D1080" s="2866"/>
      <c r="E1080" s="2866"/>
      <c r="F1080" s="2866"/>
      <c r="G1080" s="2866"/>
      <c r="H1080" s="2866"/>
      <c r="I1080" s="2866"/>
      <c r="J1080" s="2866"/>
      <c r="K1080" s="2866"/>
      <c r="L1080" s="2866"/>
      <c r="M1080" s="2866"/>
      <c r="N1080" s="2866"/>
      <c r="O1080" s="2866"/>
      <c r="P1080" s="2866"/>
      <c r="Q1080" s="2866"/>
    </row>
    <row r="1081" spans="1:17" ht="14.25">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5">
      <c r="A1082" s="2109"/>
      <c r="B1082" s="2108"/>
      <c r="C1082" s="2866"/>
      <c r="D1082" s="2866"/>
      <c r="E1082" s="2866"/>
      <c r="F1082" s="2866"/>
      <c r="G1082" s="2866"/>
      <c r="H1082" s="2866"/>
      <c r="I1082" s="2866"/>
      <c r="J1082" s="2866"/>
      <c r="K1082" s="2866"/>
      <c r="L1082" s="2866"/>
      <c r="M1082" s="2866"/>
      <c r="N1082" s="2866"/>
      <c r="O1082" s="2866"/>
      <c r="P1082" s="2866"/>
      <c r="Q1082" s="2109"/>
    </row>
    <row r="1083" spans="1:17" ht="15">
      <c r="A1083" s="2109"/>
      <c r="B1083" s="2108"/>
      <c r="C1083" s="2866"/>
      <c r="D1083" s="2866"/>
      <c r="E1083" s="2866"/>
      <c r="F1083" s="2866"/>
      <c r="G1083" s="2866"/>
      <c r="H1083" s="2866"/>
      <c r="I1083" s="2866"/>
      <c r="J1083" s="2866"/>
      <c r="K1083" s="2866"/>
      <c r="L1083" s="2866"/>
      <c r="M1083" s="2866"/>
      <c r="N1083" s="2866"/>
      <c r="O1083" s="2866"/>
      <c r="P1083" s="2866"/>
      <c r="Q1083" s="2109"/>
    </row>
    <row r="1084" spans="1:17" ht="15">
      <c r="A1084" s="2862" t="s">
        <v>3375</v>
      </c>
      <c r="B1084" s="2858" t="s">
        <v>3357</v>
      </c>
      <c r="C1084" s="2858"/>
      <c r="D1084" s="2858"/>
      <c r="E1084" s="2858"/>
      <c r="F1084" s="2858"/>
      <c r="G1084" s="2858"/>
      <c r="H1084" s="2866"/>
      <c r="I1084" s="2866"/>
      <c r="J1084" s="2866"/>
      <c r="K1084" s="2866"/>
      <c r="L1084" s="2866"/>
      <c r="M1084" s="2866"/>
      <c r="N1084" s="2870"/>
      <c r="O1084" s="2863" t="s">
        <v>1731</v>
      </c>
      <c r="P1084" s="2858"/>
      <c r="Q1084" s="2858"/>
    </row>
    <row r="1085" spans="1:17" ht="15">
      <c r="A1085" s="2870"/>
      <c r="B1085" s="2106" t="s">
        <v>3358</v>
      </c>
      <c r="C1085" s="2106"/>
      <c r="D1085" s="2106"/>
      <c r="E1085" s="2106"/>
      <c r="F1085" s="2106"/>
      <c r="G1085" s="2858">
        <f>'Part VII-Threshold Criteria'!G234</f>
        <v>0</v>
      </c>
      <c r="H1085" s="2858"/>
      <c r="I1085" s="2858"/>
      <c r="J1085" s="2858"/>
      <c r="K1085" s="2858"/>
      <c r="L1085" s="2858"/>
      <c r="M1085" s="2858"/>
      <c r="N1085" s="2858"/>
      <c r="O1085" s="2858"/>
      <c r="P1085" s="2858"/>
      <c r="Q1085" s="2858"/>
    </row>
    <row r="1086" spans="1:17" ht="15">
      <c r="A1086" s="2870"/>
      <c r="B1086" s="2106" t="s">
        <v>3359</v>
      </c>
      <c r="C1086" s="2106"/>
      <c r="D1086" s="2106"/>
      <c r="E1086" s="2106"/>
      <c r="F1086" s="2106"/>
      <c r="G1086" s="2858">
        <f>'Part VII-Threshold Criteria'!G235</f>
        <v>0</v>
      </c>
      <c r="H1086" s="2858"/>
      <c r="I1086" s="2858"/>
      <c r="J1086" s="2858"/>
      <c r="K1086" s="2858"/>
      <c r="L1086" s="2858"/>
      <c r="M1086" s="2858"/>
      <c r="N1086" s="2858"/>
      <c r="O1086" s="2858"/>
      <c r="P1086" s="2858"/>
      <c r="Q1086" s="2858"/>
    </row>
    <row r="1087" spans="1:17" ht="15">
      <c r="A1087" s="2870"/>
      <c r="B1087" s="2106" t="s">
        <v>6824</v>
      </c>
      <c r="C1087" s="2106"/>
      <c r="D1087" s="2859"/>
      <c r="E1087" s="2859"/>
      <c r="F1087" s="2859"/>
      <c r="G1087" s="2858"/>
      <c r="H1087" s="2858"/>
      <c r="I1087" s="2858"/>
      <c r="J1087" s="2858"/>
      <c r="K1087" s="2858"/>
      <c r="L1087" s="2858"/>
      <c r="M1087" s="2858"/>
      <c r="N1087" s="2858"/>
      <c r="O1087" s="2858"/>
      <c r="P1087" s="2106">
        <f>'Part VII-Threshold Criteria'!P236</f>
        <v>0</v>
      </c>
      <c r="Q1087" s="2106"/>
    </row>
    <row r="1088" spans="1:17" ht="15" customHeight="1">
      <c r="A1088" s="2870"/>
      <c r="B1088" s="2882" t="s">
        <v>1963</v>
      </c>
      <c r="C1088" s="2861" t="s">
        <v>6825</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1964</v>
      </c>
      <c r="C1089" s="2861" t="s">
        <v>6826</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1611</v>
      </c>
      <c r="C1090" s="2861" t="s">
        <v>6827</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3864</v>
      </c>
      <c r="C1091" s="2861" t="s">
        <v>6828</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6829</v>
      </c>
      <c r="C1092" s="2861" t="s">
        <v>6830</v>
      </c>
      <c r="D1092" s="2861"/>
      <c r="E1092" s="2861"/>
      <c r="F1092" s="2861"/>
      <c r="G1092" s="2861"/>
      <c r="H1092" s="2861"/>
      <c r="I1092" s="2861"/>
      <c r="J1092" s="2861"/>
      <c r="K1092" s="2861"/>
      <c r="L1092" s="2861"/>
      <c r="M1092" s="2861"/>
      <c r="N1092" s="2861"/>
      <c r="O1092" s="2861"/>
      <c r="P1092" s="2861"/>
      <c r="Q1092" s="2861"/>
    </row>
    <row r="1093" spans="1:17" ht="15">
      <c r="A1093" s="2106"/>
      <c r="B1093" s="2872" t="s">
        <v>6831</v>
      </c>
      <c r="C1093" s="2107" t="s">
        <v>7009</v>
      </c>
      <c r="D1093" s="2106"/>
      <c r="E1093" s="2866"/>
      <c r="F1093" s="2866"/>
      <c r="G1093" s="2866"/>
      <c r="H1093" s="2866"/>
      <c r="I1093" s="2866"/>
      <c r="J1093" s="2866"/>
      <c r="K1093" s="2866"/>
      <c r="L1093" s="2866"/>
      <c r="M1093" s="2866"/>
      <c r="N1093" s="2866"/>
      <c r="O1093" s="2106"/>
      <c r="P1093" s="2106"/>
      <c r="Q1093" s="2106"/>
    </row>
    <row r="1094" spans="1:17" ht="15">
      <c r="A1094" s="2106"/>
      <c r="B1094" s="2867" t="s">
        <v>3239</v>
      </c>
      <c r="C1094" s="2106"/>
      <c r="D1094" s="2867"/>
      <c r="E1094" s="2867"/>
      <c r="F1094" s="2867"/>
      <c r="G1094" s="2867"/>
      <c r="H1094" s="2107"/>
      <c r="I1094" s="2108"/>
      <c r="J1094" s="2108"/>
      <c r="K1094" s="2108"/>
      <c r="L1094" s="2109"/>
      <c r="M1094" s="2109"/>
      <c r="N1094" s="2109"/>
      <c r="O1094" s="2109"/>
      <c r="P1094" s="2109"/>
      <c r="Q1094" s="2109"/>
    </row>
    <row r="1095" spans="1:17" ht="42.75">
      <c r="A1095" s="2859" t="str">
        <f>'Part VII-Threshold Criteria'!A244</f>
        <v>This section is NA</v>
      </c>
      <c r="B1095" s="2859"/>
      <c r="C1095" s="2859"/>
      <c r="D1095" s="2859"/>
      <c r="E1095" s="2859"/>
      <c r="F1095" s="2859"/>
      <c r="G1095" s="2859"/>
      <c r="H1095" s="2859"/>
      <c r="I1095" s="2859"/>
      <c r="J1095" s="2859"/>
      <c r="K1095" s="2859"/>
      <c r="L1095" s="2859"/>
      <c r="M1095" s="2859"/>
      <c r="N1095" s="2859"/>
      <c r="O1095" s="2859"/>
      <c r="P1095" s="2859"/>
      <c r="Q1095" s="2859"/>
    </row>
    <row r="1096" spans="1:17" ht="14.25">
      <c r="A1096" s="2106"/>
      <c r="B1096" s="2864" t="s">
        <v>1730</v>
      </c>
      <c r="C1096" s="2865"/>
      <c r="D1096" s="2866"/>
      <c r="E1096" s="2866"/>
      <c r="F1096" s="2866"/>
      <c r="G1096" s="2866"/>
      <c r="H1096" s="2866"/>
      <c r="I1096" s="2866"/>
      <c r="J1096" s="2866"/>
      <c r="K1096" s="2866"/>
      <c r="L1096" s="2866"/>
      <c r="M1096" s="2866"/>
      <c r="N1096" s="2866"/>
      <c r="O1096" s="2866"/>
      <c r="P1096" s="2866"/>
      <c r="Q1096" s="2866"/>
    </row>
    <row r="1097" spans="1:17" ht="14.25">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5">
      <c r="A1098" s="2109"/>
      <c r="B1098" s="2108"/>
      <c r="C1098" s="2866"/>
      <c r="D1098" s="2866"/>
      <c r="E1098" s="2866"/>
      <c r="F1098" s="2866"/>
      <c r="G1098" s="2866"/>
      <c r="H1098" s="2866"/>
      <c r="I1098" s="2866"/>
      <c r="J1098" s="2866"/>
      <c r="K1098" s="2866"/>
      <c r="L1098" s="2866"/>
      <c r="M1098" s="2866"/>
      <c r="N1098" s="2106"/>
      <c r="O1098" s="2106"/>
      <c r="P1098" s="2106"/>
      <c r="Q1098" s="2109"/>
    </row>
    <row r="1099" spans="1:17" ht="15">
      <c r="A1099" s="2109"/>
      <c r="B1099" s="2108"/>
      <c r="C1099" s="2866"/>
      <c r="D1099" s="2866"/>
      <c r="E1099" s="2866"/>
      <c r="F1099" s="2866"/>
      <c r="G1099" s="2866"/>
      <c r="H1099" s="2866"/>
      <c r="I1099" s="2866"/>
      <c r="J1099" s="2866"/>
      <c r="K1099" s="2866"/>
      <c r="L1099" s="2866"/>
      <c r="M1099" s="2866"/>
      <c r="N1099" s="2106"/>
      <c r="O1099" s="2106"/>
      <c r="P1099" s="2106"/>
      <c r="Q1099" s="2109"/>
    </row>
    <row r="1100" spans="1:17" ht="15">
      <c r="A1100" s="2862" t="s">
        <v>3376</v>
      </c>
      <c r="B1100" s="2858" t="s">
        <v>2435</v>
      </c>
      <c r="C1100" s="2858"/>
      <c r="D1100" s="2858"/>
      <c r="E1100" s="2866"/>
      <c r="F1100" s="2106"/>
      <c r="G1100" s="2106" t="s">
        <v>655</v>
      </c>
      <c r="H1100" s="2866"/>
      <c r="I1100" s="2866"/>
      <c r="J1100" s="2866"/>
      <c r="K1100" s="2866"/>
      <c r="L1100" s="2866"/>
      <c r="M1100" s="2866"/>
      <c r="N1100" s="2106"/>
      <c r="O1100" s="2863" t="s">
        <v>1731</v>
      </c>
      <c r="P1100" s="2858"/>
      <c r="Q1100" s="2858"/>
    </row>
    <row r="1101" spans="1:17" ht="15">
      <c r="A1101" s="2870"/>
      <c r="B1101" s="2106" t="s">
        <v>2438</v>
      </c>
      <c r="C1101" s="2106"/>
      <c r="D1101" s="2859"/>
      <c r="E1101" s="2859"/>
      <c r="F1101" s="2106"/>
      <c r="G1101" s="2106"/>
      <c r="H1101" s="2106"/>
      <c r="I1101" s="2106"/>
      <c r="J1101" s="2106"/>
      <c r="K1101" s="2106"/>
      <c r="L1101" s="2106"/>
      <c r="M1101" s="2106"/>
      <c r="N1101" s="2106"/>
      <c r="O1101" s="2872"/>
      <c r="P1101" s="2858">
        <f>'Part VII-Threshold Criteria'!P250</f>
        <v>0</v>
      </c>
      <c r="Q1101" s="2858"/>
    </row>
    <row r="1102" spans="1:17" ht="15">
      <c r="A1102" s="2870"/>
      <c r="B1102" s="2106" t="s">
        <v>3142</v>
      </c>
      <c r="C1102" s="2106"/>
      <c r="D1102" s="2859"/>
      <c r="E1102" s="2859"/>
      <c r="F1102" s="2106"/>
      <c r="G1102" s="2106"/>
      <c r="H1102" s="2106"/>
      <c r="I1102" s="2106"/>
      <c r="J1102" s="2106"/>
      <c r="K1102" s="2106"/>
      <c r="L1102" s="2106"/>
      <c r="M1102" s="2106"/>
      <c r="N1102" s="2106"/>
      <c r="O1102" s="2872"/>
      <c r="P1102" s="2858">
        <f>'Part VII-Threshold Criteria'!P251</f>
        <v>0</v>
      </c>
      <c r="Q1102" s="2858"/>
    </row>
    <row r="1103" spans="1:17" ht="15">
      <c r="A1103" s="2870"/>
      <c r="B1103" s="2106" t="s">
        <v>4030</v>
      </c>
      <c r="C1103" s="2106"/>
      <c r="D1103" s="2859"/>
      <c r="E1103" s="2859"/>
      <c r="F1103" s="2106"/>
      <c r="G1103" s="2106"/>
      <c r="H1103" s="2106"/>
      <c r="I1103" s="2106"/>
      <c r="J1103" s="2106"/>
      <c r="K1103" s="2106"/>
      <c r="L1103" s="2106"/>
      <c r="M1103" s="2106"/>
      <c r="N1103" s="2106"/>
      <c r="O1103" s="2872"/>
      <c r="P1103" s="2858">
        <f>'Part VII-Threshold Criteria'!P252</f>
        <v>0</v>
      </c>
      <c r="Q1103" s="2858"/>
    </row>
    <row r="1104" spans="1:17" ht="15">
      <c r="A1104" s="2870"/>
      <c r="B1104" s="2106" t="s">
        <v>3143</v>
      </c>
      <c r="C1104" s="2106"/>
      <c r="D1104" s="2106"/>
      <c r="E1104" s="2106"/>
      <c r="F1104" s="2106"/>
      <c r="G1104" s="2106"/>
      <c r="H1104" s="2106"/>
      <c r="I1104" s="2106"/>
      <c r="J1104" s="2106"/>
      <c r="K1104" s="2106"/>
      <c r="L1104" s="2106"/>
      <c r="M1104" s="2106"/>
      <c r="N1104" s="2106"/>
      <c r="O1104" s="2872"/>
      <c r="P1104" s="2858">
        <f>'Part VII-Threshold Criteria'!P253</f>
        <v>0</v>
      </c>
      <c r="Q1104" s="2858"/>
    </row>
    <row r="1105" spans="1:17" ht="15">
      <c r="A1105" s="2870"/>
      <c r="B1105" s="2106" t="s">
        <v>690</v>
      </c>
      <c r="C1105" s="2106"/>
      <c r="D1105" s="2859">
        <f>'Part VII-Threshold Criteria'!D254</f>
        <v>0</v>
      </c>
      <c r="E1105" s="2859"/>
      <c r="F1105" s="2859"/>
      <c r="G1105" s="2859"/>
      <c r="H1105" s="2859"/>
      <c r="I1105" s="2859"/>
      <c r="J1105" s="2859"/>
      <c r="K1105" s="2859"/>
      <c r="L1105" s="2859"/>
      <c r="M1105" s="2859"/>
      <c r="N1105" s="2859"/>
      <c r="O1105" s="2859"/>
      <c r="P1105" s="2859"/>
      <c r="Q1105" s="2859"/>
    </row>
    <row r="1106" spans="1:17" ht="15">
      <c r="A1106" s="2106"/>
      <c r="B1106" s="2867" t="s">
        <v>3239</v>
      </c>
      <c r="C1106" s="2106"/>
      <c r="D1106" s="2867"/>
      <c r="E1106" s="2867"/>
      <c r="F1106" s="2867"/>
      <c r="G1106" s="2867"/>
      <c r="H1106" s="2107"/>
      <c r="I1106" s="2108"/>
      <c r="J1106" s="2108"/>
      <c r="K1106" s="2108"/>
      <c r="L1106" s="2109"/>
      <c r="M1106" s="2109"/>
      <c r="N1106" s="2109"/>
      <c r="O1106" s="2109"/>
      <c r="P1106" s="2109"/>
      <c r="Q1106" s="2109"/>
    </row>
    <row r="1107" spans="1:17" ht="99.75">
      <c r="A1107" s="2859" t="str">
        <f>'Part VII-Threshold Criteria'!A256</f>
        <v>No legal opinions were required. This section is NA</v>
      </c>
      <c r="B1107" s="2859"/>
      <c r="C1107" s="2859"/>
      <c r="D1107" s="2859"/>
      <c r="E1107" s="2859"/>
      <c r="F1107" s="2859"/>
      <c r="G1107" s="2859"/>
      <c r="H1107" s="2859"/>
      <c r="I1107" s="2859"/>
      <c r="J1107" s="2859"/>
      <c r="K1107" s="2859"/>
      <c r="L1107" s="2859"/>
      <c r="M1107" s="2859"/>
      <c r="N1107" s="2859"/>
      <c r="O1107" s="2859"/>
      <c r="P1107" s="2859"/>
      <c r="Q1107" s="2859"/>
    </row>
    <row r="1108" spans="1:17" ht="14.25">
      <c r="A1108" s="2106"/>
      <c r="B1108" s="2864" t="s">
        <v>1730</v>
      </c>
      <c r="C1108" s="2865"/>
      <c r="D1108" s="2866"/>
      <c r="E1108" s="2866"/>
      <c r="F1108" s="2866"/>
      <c r="G1108" s="2866"/>
      <c r="H1108" s="2866"/>
      <c r="I1108" s="2866"/>
      <c r="J1108" s="2866"/>
      <c r="K1108" s="2866"/>
      <c r="L1108" s="2866"/>
      <c r="M1108" s="2866"/>
      <c r="N1108" s="2866"/>
      <c r="O1108" s="2866"/>
      <c r="P1108" s="2866"/>
      <c r="Q1108" s="2866"/>
    </row>
    <row r="1109" spans="1:17" ht="14.25">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5">
      <c r="A1110" s="2109"/>
      <c r="B1110" s="2108"/>
      <c r="C1110" s="2866"/>
      <c r="D1110" s="2866"/>
      <c r="E1110" s="2866"/>
      <c r="F1110" s="2866"/>
      <c r="G1110" s="2866"/>
      <c r="H1110" s="2866"/>
      <c r="I1110" s="2866"/>
      <c r="J1110" s="2866"/>
      <c r="K1110" s="2866"/>
      <c r="L1110" s="2866"/>
      <c r="M1110" s="2866"/>
      <c r="N1110" s="2866"/>
      <c r="O1110" s="2866"/>
      <c r="P1110" s="2866"/>
      <c r="Q1110" s="2109"/>
    </row>
    <row r="1111" spans="1:17" ht="15">
      <c r="A1111" s="2109"/>
      <c r="B1111" s="2108"/>
      <c r="C1111" s="2866"/>
      <c r="D1111" s="2866"/>
      <c r="E1111" s="2866"/>
      <c r="F1111" s="2866"/>
      <c r="G1111" s="2866"/>
      <c r="H1111" s="2866"/>
      <c r="I1111" s="2866"/>
      <c r="J1111" s="2866"/>
      <c r="K1111" s="2866"/>
      <c r="L1111" s="2866"/>
      <c r="M1111" s="2866"/>
      <c r="N1111" s="2866"/>
      <c r="O1111" s="2866"/>
      <c r="P1111" s="2866"/>
      <c r="Q1111" s="2109"/>
    </row>
    <row r="1112" spans="1:17" ht="15">
      <c r="A1112" s="2862" t="s">
        <v>3377</v>
      </c>
      <c r="B1112" s="2858" t="s">
        <v>3938</v>
      </c>
      <c r="C1112" s="2858"/>
      <c r="D1112" s="2858"/>
      <c r="E1112" s="2858"/>
      <c r="F1112" s="2858"/>
      <c r="G1112" s="2858"/>
      <c r="H1112" s="2866"/>
      <c r="I1112" s="2866"/>
      <c r="J1112" s="2866"/>
      <c r="K1112" s="2866"/>
      <c r="L1112" s="2866"/>
      <c r="M1112" s="2866"/>
      <c r="N1112" s="2106"/>
      <c r="O1112" s="2863" t="s">
        <v>1731</v>
      </c>
      <c r="P1112" s="2858"/>
      <c r="Q1112" s="2858"/>
    </row>
    <row r="1113" spans="1:17" ht="14.25">
      <c r="A1113" s="2106"/>
      <c r="B1113" s="2106" t="s">
        <v>6250</v>
      </c>
      <c r="C1113" s="2106"/>
      <c r="D1113" s="2106"/>
      <c r="E1113" s="2106"/>
      <c r="F1113" s="2106"/>
      <c r="G1113" s="2106"/>
      <c r="H1113" s="2106"/>
      <c r="I1113" s="2106"/>
      <c r="J1113" s="2106"/>
      <c r="K1113" s="2106"/>
      <c r="L1113" s="2106"/>
      <c r="M1113" s="2106"/>
      <c r="N1113" s="2106"/>
      <c r="O1113" s="2872"/>
      <c r="P1113" s="2106">
        <f>'Part VII-Threshold Criteria'!P262</f>
        <v>0</v>
      </c>
      <c r="Q1113" s="2106"/>
    </row>
    <row r="1114" spans="1:17" ht="15">
      <c r="A1114" s="2870" t="s">
        <v>1841</v>
      </c>
      <c r="B1114" s="2858" t="s">
        <v>3937</v>
      </c>
      <c r="C1114" s="2106"/>
      <c r="D1114" s="2106"/>
      <c r="E1114" s="2106"/>
      <c r="F1114" s="2106"/>
      <c r="G1114" s="2106"/>
      <c r="H1114" s="2106"/>
      <c r="I1114" s="2106"/>
      <c r="J1114" s="2106"/>
      <c r="K1114" s="2106"/>
      <c r="L1114" s="2106"/>
      <c r="M1114" s="2106"/>
      <c r="N1114" s="2106"/>
      <c r="O1114" s="2106"/>
      <c r="P1114" s="2106"/>
      <c r="Q1114" s="2106"/>
    </row>
    <row r="1115" spans="1:17" ht="15">
      <c r="A1115" s="2870"/>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0"/>
      <c r="B1117" s="2859" t="s">
        <v>6833</v>
      </c>
      <c r="C1117" s="2859"/>
      <c r="D1117" s="2859"/>
      <c r="E1117" s="2859"/>
      <c r="F1117" s="2859"/>
      <c r="G1117" s="2859"/>
      <c r="H1117" s="2859"/>
      <c r="I1117" s="2859"/>
      <c r="J1117" s="2859"/>
      <c r="K1117" s="2859"/>
      <c r="L1117" s="2859"/>
      <c r="M1117" s="2859"/>
      <c r="N1117" s="2859"/>
      <c r="O1117" s="2859"/>
      <c r="P1117" s="2106">
        <f>'Part VII-Threshold Criteria'!P266</f>
        <v>0</v>
      </c>
      <c r="Q1117" s="2106"/>
    </row>
    <row r="1118" spans="1:17" ht="14.25">
      <c r="A1118" s="2106"/>
      <c r="B1118" s="2867" t="s">
        <v>3239</v>
      </c>
      <c r="C1118" s="2106"/>
      <c r="D1118" s="2867"/>
      <c r="E1118" s="2867"/>
      <c r="F1118" s="2867"/>
      <c r="G1118" s="2867"/>
      <c r="H1118" s="2107"/>
      <c r="I1118" s="2108"/>
      <c r="J1118" s="2108"/>
      <c r="K1118" s="2108"/>
      <c r="L1118" s="2106"/>
      <c r="M1118" s="2106"/>
      <c r="N1118" s="2106"/>
      <c r="O1118" s="2106"/>
      <c r="P1118" s="2106"/>
      <c r="Q1118" s="2106"/>
    </row>
    <row r="1119" spans="1:17" ht="213.75">
      <c r="A1119" s="2859" t="str">
        <f>'Part VII-Threshold Criteria'!A268</f>
        <v>The site is currently undeveloped wooded land, no displacement will occur. This section is NA.</v>
      </c>
      <c r="B1119" s="2859"/>
      <c r="C1119" s="2859"/>
      <c r="D1119" s="2859"/>
      <c r="E1119" s="2859"/>
      <c r="F1119" s="2859"/>
      <c r="G1119" s="2859"/>
      <c r="H1119" s="2859"/>
      <c r="I1119" s="2859"/>
      <c r="J1119" s="2859"/>
      <c r="K1119" s="2859"/>
      <c r="L1119" s="2859"/>
      <c r="M1119" s="2859"/>
      <c r="N1119" s="2859"/>
      <c r="O1119" s="2859"/>
      <c r="P1119" s="2859"/>
      <c r="Q1119" s="2859"/>
    </row>
    <row r="1120" spans="1:17" ht="14.25">
      <c r="A1120" s="2106"/>
      <c r="B1120" s="2864" t="s">
        <v>1730</v>
      </c>
      <c r="C1120" s="2865"/>
      <c r="D1120" s="2866"/>
      <c r="E1120" s="2866"/>
      <c r="F1120" s="2866"/>
      <c r="G1120" s="2866"/>
      <c r="H1120" s="2866"/>
      <c r="I1120" s="2866"/>
      <c r="J1120" s="2866"/>
      <c r="K1120" s="2866"/>
      <c r="L1120" s="2866"/>
      <c r="M1120" s="2866"/>
      <c r="N1120" s="2866"/>
      <c r="O1120" s="2866"/>
      <c r="P1120" s="2866"/>
      <c r="Q1120" s="2866"/>
    </row>
    <row r="1121" spans="1:17" ht="14.25">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5">
      <c r="A1122" s="2109"/>
      <c r="B1122" s="2108"/>
      <c r="C1122" s="2866"/>
      <c r="D1122" s="2866"/>
      <c r="E1122" s="2866"/>
      <c r="F1122" s="2866"/>
      <c r="G1122" s="2866"/>
      <c r="H1122" s="2866"/>
      <c r="I1122" s="2866"/>
      <c r="J1122" s="2866"/>
      <c r="K1122" s="2866"/>
      <c r="L1122" s="2866"/>
      <c r="M1122" s="2866"/>
      <c r="N1122" s="2106"/>
      <c r="O1122" s="2106"/>
      <c r="P1122" s="2106"/>
      <c r="Q1122" s="2109"/>
    </row>
    <row r="1123" spans="1:17" ht="15">
      <c r="A1123" s="2109"/>
      <c r="B1123" s="2108"/>
      <c r="C1123" s="2866"/>
      <c r="D1123" s="2866"/>
      <c r="E1123" s="2866"/>
      <c r="F1123" s="2866"/>
      <c r="G1123" s="2866"/>
      <c r="H1123" s="2866"/>
      <c r="I1123" s="2866"/>
      <c r="J1123" s="2866"/>
      <c r="K1123" s="2866"/>
      <c r="L1123" s="2866"/>
      <c r="M1123" s="2866"/>
      <c r="N1123" s="2106"/>
      <c r="O1123" s="2106"/>
      <c r="P1123" s="2106"/>
      <c r="Q1123" s="2109"/>
    </row>
    <row r="1124" spans="1:17" ht="15">
      <c r="A1124" s="2862" t="s">
        <v>3378</v>
      </c>
      <c r="B1124" s="2858" t="s">
        <v>2508</v>
      </c>
      <c r="C1124" s="2858"/>
      <c r="D1124" s="2858"/>
      <c r="E1124" s="2866"/>
      <c r="F1124" s="2866"/>
      <c r="G1124" s="2866"/>
      <c r="H1124" s="2866"/>
      <c r="I1124" s="2106"/>
      <c r="J1124" s="2106"/>
      <c r="K1124" s="2106"/>
      <c r="L1124" s="2106"/>
      <c r="M1124" s="2106"/>
      <c r="N1124" s="2106"/>
      <c r="O1124" s="2863" t="s">
        <v>1731</v>
      </c>
      <c r="P1124" s="2858"/>
      <c r="Q1124" s="2858"/>
    </row>
    <row r="1125" spans="1:17" ht="15" customHeight="1">
      <c r="A1125" s="2106"/>
      <c r="B1125" s="2859" t="s">
        <v>6834</v>
      </c>
      <c r="C1125" s="2859"/>
      <c r="D1125" s="2859"/>
      <c r="E1125" s="2859"/>
      <c r="F1125" s="2859"/>
      <c r="G1125" s="2859"/>
      <c r="H1125" s="2859"/>
      <c r="I1125" s="2859"/>
      <c r="J1125" s="2859"/>
      <c r="K1125" s="2859"/>
      <c r="L1125" s="2859"/>
      <c r="M1125" s="2859"/>
      <c r="N1125" s="2859"/>
      <c r="O1125" s="2889"/>
      <c r="P1125" s="2106" t="str">
        <f>'Part VII-Threshold Criteria'!P274</f>
        <v>Agree</v>
      </c>
      <c r="Q1125" s="2106"/>
    </row>
    <row r="1126" spans="1:17" ht="14.25" customHeight="1">
      <c r="A1126" s="2106"/>
      <c r="B1126" s="2882" t="s">
        <v>1841</v>
      </c>
      <c r="C1126" s="2861" t="s">
        <v>3311</v>
      </c>
      <c r="D1126" s="2861"/>
      <c r="E1126" s="2861"/>
      <c r="F1126" s="2861"/>
      <c r="G1126" s="2861"/>
      <c r="H1126" s="2861"/>
      <c r="I1126" s="2861"/>
      <c r="J1126" s="2861"/>
      <c r="K1126" s="2861"/>
      <c r="L1126" s="2861"/>
      <c r="M1126" s="2861"/>
      <c r="N1126" s="2861"/>
      <c r="O1126" s="2861"/>
      <c r="P1126" s="2859"/>
      <c r="Q1126" s="2106"/>
    </row>
    <row r="1127" spans="1:17" ht="15" customHeight="1">
      <c r="A1127" s="2106"/>
      <c r="B1127" s="2882" t="s">
        <v>1843</v>
      </c>
      <c r="C1127" s="2861" t="s">
        <v>6835</v>
      </c>
      <c r="D1127" s="2861"/>
      <c r="E1127" s="2861"/>
      <c r="F1127" s="2861"/>
      <c r="G1127" s="2861"/>
      <c r="H1127" s="2861"/>
      <c r="I1127" s="2861"/>
      <c r="J1127" s="2861"/>
      <c r="K1127" s="2861"/>
      <c r="L1127" s="2861"/>
      <c r="M1127" s="2861"/>
      <c r="N1127" s="2861"/>
      <c r="O1127" s="2861"/>
      <c r="P1127" s="2859"/>
      <c r="Q1127" s="2109"/>
    </row>
    <row r="1128" spans="1:17" ht="15" customHeight="1">
      <c r="A1128" s="2106"/>
      <c r="B1128" s="2106"/>
      <c r="C1128" s="2899" t="s">
        <v>1844</v>
      </c>
      <c r="D1128" s="2861" t="s">
        <v>3866</v>
      </c>
      <c r="E1128" s="2861"/>
      <c r="F1128" s="2861"/>
      <c r="G1128" s="2861"/>
      <c r="H1128" s="2861"/>
      <c r="I1128" s="2861"/>
      <c r="J1128" s="2861"/>
      <c r="K1128" s="2861"/>
      <c r="L1128" s="2861"/>
      <c r="M1128" s="2861"/>
      <c r="N1128" s="2861"/>
      <c r="O1128" s="2861"/>
      <c r="P1128" s="2872"/>
      <c r="Q1128" s="2109"/>
    </row>
    <row r="1129" spans="1:17" ht="15">
      <c r="A1129" s="2106"/>
      <c r="B1129" s="2106"/>
      <c r="C1129" s="2899" t="s">
        <v>1846</v>
      </c>
      <c r="D1129" s="2880" t="s">
        <v>3867</v>
      </c>
      <c r="E1129" s="2880"/>
      <c r="F1129" s="2880"/>
      <c r="G1129" s="2880"/>
      <c r="H1129" s="2880"/>
      <c r="I1129" s="2880"/>
      <c r="J1129" s="2880"/>
      <c r="K1129" s="2880"/>
      <c r="L1129" s="2880"/>
      <c r="M1129" s="2880"/>
      <c r="N1129" s="2880"/>
      <c r="O1129" s="2880"/>
      <c r="P1129" s="2872"/>
      <c r="Q1129" s="2109"/>
    </row>
    <row r="1130" spans="1:17" ht="15" customHeight="1">
      <c r="A1130" s="2106"/>
      <c r="B1130" s="2106"/>
      <c r="C1130" s="2899" t="s">
        <v>2332</v>
      </c>
      <c r="D1130" s="2861" t="s">
        <v>3868</v>
      </c>
      <c r="E1130" s="2861"/>
      <c r="F1130" s="2861"/>
      <c r="G1130" s="2861"/>
      <c r="H1130" s="2861"/>
      <c r="I1130" s="2861"/>
      <c r="J1130" s="2861"/>
      <c r="K1130" s="2861"/>
      <c r="L1130" s="2861"/>
      <c r="M1130" s="2861"/>
      <c r="N1130" s="2861"/>
      <c r="O1130" s="2861"/>
      <c r="P1130" s="2872"/>
      <c r="Q1130" s="2109"/>
    </row>
    <row r="1131" spans="1:17" ht="15" customHeight="1">
      <c r="A1131" s="2106"/>
      <c r="B1131" s="2106"/>
      <c r="C1131" s="2899" t="s">
        <v>1150</v>
      </c>
      <c r="D1131" s="2861" t="s">
        <v>3869</v>
      </c>
      <c r="E1131" s="2861"/>
      <c r="F1131" s="2861"/>
      <c r="G1131" s="2861"/>
      <c r="H1131" s="2861"/>
      <c r="I1131" s="2861"/>
      <c r="J1131" s="2861"/>
      <c r="K1131" s="2861"/>
      <c r="L1131" s="2861"/>
      <c r="M1131" s="2861"/>
      <c r="N1131" s="2861"/>
      <c r="O1131" s="2861"/>
      <c r="P1131" s="2872"/>
      <c r="Q1131" s="2109"/>
    </row>
    <row r="1132" spans="1:17" ht="15" customHeight="1">
      <c r="A1132" s="2106"/>
      <c r="B1132" s="2882" t="s">
        <v>698</v>
      </c>
      <c r="C1132" s="2861" t="s">
        <v>3312</v>
      </c>
      <c r="D1132" s="2861"/>
      <c r="E1132" s="2861"/>
      <c r="F1132" s="2861"/>
      <c r="G1132" s="2861"/>
      <c r="H1132" s="2861"/>
      <c r="I1132" s="2861"/>
      <c r="J1132" s="2861"/>
      <c r="K1132" s="2861"/>
      <c r="L1132" s="2861"/>
      <c r="M1132" s="2861"/>
      <c r="N1132" s="2861"/>
      <c r="O1132" s="2861"/>
      <c r="P1132" s="2861"/>
      <c r="Q1132" s="2109"/>
    </row>
    <row r="1133" spans="1:17" ht="15" customHeight="1">
      <c r="A1133" s="2106"/>
      <c r="B1133" s="2882" t="s">
        <v>1962</v>
      </c>
      <c r="C1133" s="2861" t="s">
        <v>3917</v>
      </c>
      <c r="D1133" s="2861"/>
      <c r="E1133" s="2861"/>
      <c r="F1133" s="2861"/>
      <c r="G1133" s="2861"/>
      <c r="H1133" s="2861"/>
      <c r="I1133" s="2861"/>
      <c r="J1133" s="2861"/>
      <c r="K1133" s="2861"/>
      <c r="L1133" s="2861"/>
      <c r="M1133" s="2861"/>
      <c r="N1133" s="2861"/>
      <c r="O1133" s="2861"/>
      <c r="P1133" s="2861"/>
      <c r="Q1133" s="2109"/>
    </row>
    <row r="1134" spans="1:17" ht="15" customHeight="1">
      <c r="A1134" s="2106"/>
      <c r="B1134" s="2882" t="s">
        <v>1612</v>
      </c>
      <c r="C1134" s="2861" t="s">
        <v>3918</v>
      </c>
      <c r="D1134" s="2861"/>
      <c r="E1134" s="2861"/>
      <c r="F1134" s="2861"/>
      <c r="G1134" s="2861"/>
      <c r="H1134" s="2861"/>
      <c r="I1134" s="2861"/>
      <c r="J1134" s="2861"/>
      <c r="K1134" s="2861"/>
      <c r="L1134" s="2861"/>
      <c r="M1134" s="2861"/>
      <c r="N1134" s="2861"/>
      <c r="O1134" s="2861"/>
      <c r="P1134" s="2861"/>
      <c r="Q1134" s="2109"/>
    </row>
    <row r="1135" spans="1:17" ht="15" customHeight="1">
      <c r="A1135" s="2876"/>
      <c r="B1135" s="2861" t="s">
        <v>6836</v>
      </c>
      <c r="C1135" s="2861"/>
      <c r="D1135" s="2861"/>
      <c r="E1135" s="2861"/>
      <c r="F1135" s="2861"/>
      <c r="G1135" s="2861"/>
      <c r="H1135" s="2861"/>
      <c r="I1135" s="2861"/>
      <c r="J1135" s="2861"/>
      <c r="K1135" s="2861"/>
      <c r="L1135" s="2861"/>
      <c r="M1135" s="2861"/>
      <c r="N1135" s="2861"/>
      <c r="O1135" s="2861"/>
      <c r="P1135" s="2106" t="str">
        <f>'Part VII-Threshold Criteria'!P284</f>
        <v>Agree</v>
      </c>
      <c r="Q1135" s="2106"/>
    </row>
    <row r="1136" spans="1:17" ht="15">
      <c r="A1136" s="2106"/>
      <c r="B1136" s="2867" t="s">
        <v>3239</v>
      </c>
      <c r="C1136" s="2106"/>
      <c r="D1136" s="2867"/>
      <c r="E1136" s="2867"/>
      <c r="F1136" s="2867"/>
      <c r="G1136" s="2867"/>
      <c r="H1136" s="2107"/>
      <c r="I1136" s="2108"/>
      <c r="J1136" s="2108"/>
      <c r="K1136" s="2108"/>
      <c r="L1136" s="2109"/>
      <c r="M1136" s="2109"/>
      <c r="N1136" s="2109"/>
      <c r="O1136" s="2109"/>
      <c r="P1136" s="2109"/>
      <c r="Q1136" s="2109"/>
    </row>
    <row r="1137" spans="1:64" ht="128.25">
      <c r="A1137" s="2859" t="str">
        <f>'Part VII-Threshold Criteria'!A286</f>
        <v>The applicant agrees to submit a marketing plan for AFFH</v>
      </c>
      <c r="B1137" s="2859"/>
      <c r="C1137" s="2859"/>
      <c r="D1137" s="2859"/>
      <c r="E1137" s="2859"/>
      <c r="F1137" s="2859"/>
      <c r="G1137" s="2859"/>
      <c r="H1137" s="2859"/>
      <c r="I1137" s="2859"/>
      <c r="J1137" s="2859"/>
      <c r="K1137" s="2859"/>
      <c r="L1137" s="2859"/>
      <c r="M1137" s="2859"/>
      <c r="N1137" s="2859"/>
      <c r="O1137" s="2859"/>
      <c r="P1137" s="2859"/>
      <c r="Q1137" s="2859"/>
    </row>
    <row r="1138" spans="1:64" ht="14.25">
      <c r="A1138" s="2106"/>
      <c r="B1138" s="2864" t="s">
        <v>1730</v>
      </c>
      <c r="C1138" s="2865"/>
      <c r="D1138" s="2866"/>
      <c r="E1138" s="2866"/>
      <c r="F1138" s="2866"/>
      <c r="G1138" s="2866"/>
      <c r="H1138" s="2866"/>
      <c r="I1138" s="2866"/>
      <c r="J1138" s="2866"/>
      <c r="K1138" s="2866"/>
      <c r="L1138" s="2866"/>
      <c r="M1138" s="2866"/>
      <c r="N1138" s="2866"/>
      <c r="O1138" s="2866"/>
      <c r="P1138" s="2866"/>
      <c r="Q1138" s="2866"/>
    </row>
    <row r="1139" spans="1:64" ht="14.25">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5">
      <c r="A1140" s="2109"/>
      <c r="B1140" s="2108"/>
      <c r="C1140" s="2866"/>
      <c r="D1140" s="2866"/>
      <c r="E1140" s="2866"/>
      <c r="F1140" s="2866"/>
      <c r="G1140" s="2866"/>
      <c r="H1140" s="2866"/>
      <c r="I1140" s="2866"/>
      <c r="J1140" s="2866"/>
      <c r="K1140" s="2866"/>
      <c r="L1140" s="2866"/>
      <c r="M1140" s="2866"/>
      <c r="N1140" s="2106"/>
      <c r="O1140" s="2106"/>
      <c r="P1140" s="2106"/>
      <c r="Q1140" s="2109"/>
    </row>
    <row r="1141" spans="1:64" ht="15">
      <c r="A1141" s="2109"/>
      <c r="B1141" s="2108"/>
      <c r="C1141" s="2866"/>
      <c r="D1141" s="2866"/>
      <c r="E1141" s="2866"/>
      <c r="F1141" s="2866"/>
      <c r="G1141" s="2866"/>
      <c r="H1141" s="2866"/>
      <c r="I1141" s="2866"/>
      <c r="J1141" s="2866"/>
      <c r="K1141" s="2866"/>
      <c r="L1141" s="2866"/>
      <c r="M1141" s="2866"/>
      <c r="N1141" s="2106"/>
      <c r="O1141" s="2106"/>
      <c r="P1141" s="2106"/>
      <c r="Q1141" s="2109"/>
    </row>
    <row r="1142" spans="1:64" ht="15">
      <c r="A1142" s="2862" t="s">
        <v>3379</v>
      </c>
      <c r="B1142" s="2858" t="s">
        <v>2436</v>
      </c>
      <c r="C1142" s="2106"/>
      <c r="D1142" s="2858"/>
      <c r="E1142" s="2866"/>
      <c r="F1142" s="2866"/>
      <c r="G1142" s="2866"/>
      <c r="H1142" s="2866"/>
      <c r="I1142" s="2106"/>
      <c r="J1142" s="2866"/>
      <c r="K1142" s="2866"/>
      <c r="L1142" s="2866"/>
      <c r="M1142" s="2866"/>
      <c r="N1142" s="2106"/>
      <c r="O1142" s="2863" t="s">
        <v>1731</v>
      </c>
      <c r="P1142" s="2858"/>
      <c r="Q1142" s="2858"/>
    </row>
    <row r="1143" spans="1:64" ht="15">
      <c r="A1143" s="2862"/>
      <c r="B1143" s="2867" t="s">
        <v>3239</v>
      </c>
      <c r="C1143" s="2106"/>
      <c r="D1143" s="2867"/>
      <c r="E1143" s="2867"/>
      <c r="F1143" s="2867"/>
      <c r="G1143" s="2867"/>
      <c r="H1143" s="2107"/>
      <c r="I1143" s="2108"/>
      <c r="J1143" s="2108"/>
      <c r="K1143" s="2108"/>
      <c r="L1143" s="2109"/>
      <c r="M1143" s="2109"/>
      <c r="N1143" s="2109"/>
      <c r="O1143" s="2109"/>
      <c r="P1143" s="2109"/>
      <c r="Q1143" s="2109"/>
    </row>
    <row r="1144" spans="1:64" ht="342">
      <c r="A1144" s="2859" t="str">
        <f>'Part VII-Threshold Criteria'!A293</f>
        <v>The development represents a proper utilization of the Housing Credit Program to provide high quality units within an area that has a need for affordable housing.</v>
      </c>
      <c r="B1144" s="2859"/>
      <c r="C1144" s="2859"/>
      <c r="D1144" s="2859"/>
      <c r="E1144" s="2859"/>
      <c r="F1144" s="2859"/>
      <c r="G1144" s="2859"/>
      <c r="H1144" s="2859"/>
      <c r="I1144" s="2859"/>
      <c r="J1144" s="2859"/>
      <c r="K1144" s="2859"/>
      <c r="L1144" s="2859"/>
      <c r="M1144" s="2859"/>
      <c r="N1144" s="2859"/>
      <c r="O1144" s="2859"/>
      <c r="P1144" s="2859"/>
      <c r="Q1144" s="2859"/>
    </row>
    <row r="1145" spans="1:64" ht="14.25">
      <c r="A1145" s="2106"/>
      <c r="B1145" s="2864" t="s">
        <v>1730</v>
      </c>
      <c r="C1145" s="2865"/>
      <c r="D1145" s="2866"/>
      <c r="E1145" s="2866"/>
      <c r="F1145" s="2866"/>
      <c r="G1145" s="2866"/>
      <c r="H1145" s="2866"/>
      <c r="I1145" s="2866"/>
      <c r="J1145" s="2866"/>
      <c r="K1145" s="2866"/>
      <c r="L1145" s="2866"/>
      <c r="M1145" s="2866"/>
      <c r="N1145" s="2866"/>
      <c r="O1145" s="2866"/>
      <c r="P1145" s="2866"/>
      <c r="Q1145" s="2866"/>
    </row>
    <row r="1146" spans="1:64" ht="14.25">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5">
      <c r="A1152" s="2198" t="str">
        <f>CONCATENATE("PART EIGHT - SCORING CRITERIA","  -  ",'Part I-Project Identification'!$O$7," ",'Part I-Project Identification'!$F$25,", ",'Part I-Project Identification'!F1182,", ",'Part I-Project Identification'!J1182," County")</f>
        <v>PART EIGHT - SCORING CRITERIA  -  2023-0 Helix, ,  County</v>
      </c>
      <c r="B1152" s="2198"/>
      <c r="C1152" s="2198"/>
      <c r="D1152" s="2198"/>
      <c r="E1152" s="2198"/>
      <c r="F1152" s="2198"/>
      <c r="G1152" s="2198"/>
      <c r="H1152" s="2198"/>
      <c r="I1152" s="2198"/>
      <c r="J1152" s="2198"/>
      <c r="K1152" s="2198"/>
      <c r="L1152" s="2198"/>
      <c r="M1152" s="2198"/>
      <c r="N1152" s="2198"/>
      <c r="O1152" s="2198"/>
      <c r="P1152" s="2198"/>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5">
      <c r="A1153" s="2199"/>
      <c r="B1153" s="2199"/>
      <c r="C1153" s="2901"/>
      <c r="D1153" s="2199"/>
      <c r="E1153" s="2199"/>
      <c r="F1153" s="2199"/>
      <c r="G1153" s="2199"/>
      <c r="H1153" s="2199"/>
      <c r="I1153" s="2199"/>
      <c r="J1153" s="2199"/>
      <c r="K1153" s="2199"/>
      <c r="L1153" s="2199"/>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6840</v>
      </c>
      <c r="B1154" s="2902"/>
      <c r="C1154" s="2902"/>
      <c r="D1154" s="2902"/>
      <c r="E1154" s="2902"/>
      <c r="F1154" s="2902"/>
      <c r="G1154" s="2902"/>
      <c r="H1154" s="2902"/>
      <c r="I1154" s="2902"/>
      <c r="J1154" s="2902"/>
      <c r="K1154" s="2902"/>
      <c r="L1154" s="2902"/>
      <c r="M1154" s="2903"/>
      <c r="N1154" s="2311"/>
      <c r="O1154" s="2499" t="s">
        <v>2050</v>
      </c>
      <c r="P1154" s="2499" t="s">
        <v>245</v>
      </c>
      <c r="Q1154" s="2462"/>
      <c r="R1154" s="2462"/>
      <c r="S1154" s="2462"/>
      <c r="T1154" s="2462"/>
      <c r="U1154" s="2462"/>
      <c r="V1154" s="2462"/>
      <c r="W1154" s="2462"/>
      <c r="X1154" s="2900"/>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2"/>
      <c r="B1155" s="2902"/>
      <c r="C1155" s="2902"/>
      <c r="D1155" s="2902"/>
      <c r="E1155" s="2902"/>
      <c r="F1155" s="2902"/>
      <c r="G1155" s="2902"/>
      <c r="H1155" s="2902"/>
      <c r="I1155" s="2902"/>
      <c r="J1155" s="2902"/>
      <c r="K1155" s="2902"/>
      <c r="L1155" s="2902"/>
      <c r="M1155" s="2903"/>
      <c r="N1155" s="2198"/>
      <c r="O1155" s="2499" t="s">
        <v>2051</v>
      </c>
      <c r="P1155" s="2499" t="s">
        <v>2051</v>
      </c>
      <c r="Q1155" s="2462"/>
      <c r="R1155" s="2462"/>
      <c r="S1155" s="2462"/>
      <c r="T1155" s="2462"/>
      <c r="U1155" s="2462"/>
      <c r="V1155" s="2462"/>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4"/>
      <c r="N1156" s="2198"/>
      <c r="O1156" s="2499"/>
      <c r="P1156" s="2398"/>
      <c r="Q1156" s="2462"/>
      <c r="R1156" s="2462"/>
      <c r="S1156" s="2462"/>
      <c r="T1156" s="2462"/>
      <c r="U1156" s="2462"/>
      <c r="V1156" s="2462"/>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5" t="str">
        <f>'Part I-Project Identification'!$A$6</f>
        <v>April 2023</v>
      </c>
      <c r="C1157" s="2905"/>
      <c r="D1157" s="2905"/>
      <c r="E1157" s="2905"/>
      <c r="F1157" s="2905"/>
      <c r="G1157" s="2199"/>
      <c r="H1157" s="2199"/>
      <c r="I1157" s="2199"/>
      <c r="J1157" s="2199"/>
      <c r="K1157" s="2199"/>
      <c r="L1157" s="2499" t="s">
        <v>1152</v>
      </c>
      <c r="M1157" s="2395"/>
      <c r="N1157" s="2906"/>
      <c r="O1157" s="2907">
        <f>O1555</f>
        <v>73.5</v>
      </c>
      <c r="P1157" s="2907">
        <f>P1555</f>
        <v>22</v>
      </c>
      <c r="Q1157" s="2198" t="s">
        <v>6841</v>
      </c>
      <c r="R1157" s="2437"/>
      <c r="S1157" s="2437"/>
      <c r="T1157" s="2437"/>
      <c r="U1157" s="2437"/>
      <c r="V1157" s="2437"/>
      <c r="W1157" s="2437"/>
      <c r="X1157" s="2437"/>
      <c r="Y1157" s="2437"/>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39"/>
      <c r="C1158" s="2199"/>
      <c r="D1158" s="2199"/>
      <c r="E1158" s="2199"/>
      <c r="F1158" s="2199"/>
      <c r="G1158" s="2199"/>
      <c r="H1158" s="2199"/>
      <c r="I1158" s="2199"/>
      <c r="J1158" s="2199"/>
      <c r="K1158" s="2199"/>
      <c r="L1158" s="2199"/>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5">
      <c r="A1159" s="2908"/>
      <c r="B1159" s="2199"/>
      <c r="C1159" s="2199"/>
      <c r="D1159" s="2199"/>
      <c r="E1159" s="2199"/>
      <c r="F1159" s="2199"/>
      <c r="G1159" s="2909"/>
      <c r="H1159" s="2199"/>
      <c r="I1159" s="2909"/>
      <c r="J1159" s="2909"/>
      <c r="K1159" s="2909"/>
      <c r="L1159" s="2909"/>
      <c r="M1159" s="2909"/>
      <c r="N1159" s="2909"/>
      <c r="O1159" s="2909"/>
      <c r="P1159" s="2909"/>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3" t="s">
        <v>573</v>
      </c>
      <c r="B1160" s="2464" t="s">
        <v>6134</v>
      </c>
      <c r="C1160" s="2198"/>
      <c r="D1160" s="2199"/>
      <c r="E1160" s="2199"/>
      <c r="F1160" s="2199"/>
      <c r="G1160" s="2909"/>
      <c r="H1160" s="2199"/>
      <c r="I1160" s="2909"/>
      <c r="J1160" s="2909"/>
      <c r="K1160" s="2909"/>
      <c r="L1160" s="2909"/>
      <c r="M1160" s="2909"/>
      <c r="N1160" s="2909"/>
      <c r="O1160" s="2909"/>
      <c r="P1160" s="2909"/>
      <c r="Q1160" s="2437"/>
      <c r="R1160" s="2437"/>
      <c r="S1160" s="2437"/>
      <c r="T1160" s="2437"/>
      <c r="U1160" s="2437"/>
      <c r="V1160" s="2437"/>
      <c r="W1160" s="2437"/>
      <c r="X1160" s="2437"/>
      <c r="Y1160" s="2437"/>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8" t="s">
        <v>6135</v>
      </c>
      <c r="B1161" s="2199"/>
      <c r="C1161" s="2199"/>
      <c r="D1161" s="2199"/>
      <c r="E1161" s="2199"/>
      <c r="F1161" s="2199"/>
      <c r="G1161" s="2909"/>
      <c r="H1161" s="2199"/>
      <c r="I1161" s="2909"/>
      <c r="J1161" s="2909"/>
      <c r="K1161" s="2909"/>
      <c r="L1161" s="2909"/>
      <c r="M1161" s="2910" t="s">
        <v>7010</v>
      </c>
      <c r="N1161" s="2909"/>
      <c r="O1161" s="2909"/>
      <c r="P1161" s="2499">
        <f>IF(P1163&lt;2,0,IF(AND(P1163&gt;1,P1163&lt;5),1,IF(P1163&gt;4,P1163-3)))</f>
        <v>0</v>
      </c>
      <c r="Q1161" s="2437"/>
      <c r="R1161" s="2437"/>
      <c r="S1161" s="2437"/>
      <c r="T1161" s="2437"/>
      <c r="U1161" s="2437"/>
      <c r="V1161" s="2437"/>
      <c r="W1161" s="2437"/>
      <c r="X1161" s="2437"/>
      <c r="Y1161" s="2437"/>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39"/>
      <c r="C1162" s="2199"/>
      <c r="D1162" s="2199"/>
      <c r="E1162" s="2199"/>
      <c r="F1162" s="2199"/>
      <c r="G1162" s="2199"/>
      <c r="H1162" s="2199"/>
      <c r="I1162" s="2199"/>
      <c r="J1162" s="2199"/>
      <c r="K1162" s="2199"/>
      <c r="L1162" s="2199"/>
      <c r="M1162" s="2311"/>
      <c r="N1162" s="2341"/>
      <c r="O1162" s="2395"/>
      <c r="P1162" s="2499"/>
      <c r="Q1162" s="2396"/>
      <c r="R1162" s="2199"/>
      <c r="S1162" s="2199"/>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3391</v>
      </c>
      <c r="B1163" s="2396" t="s">
        <v>3392</v>
      </c>
      <c r="C1163" s="2199"/>
      <c r="D1163" s="2199"/>
      <c r="E1163" s="2396" t="s">
        <v>3399</v>
      </c>
      <c r="F1163" s="2396" t="s">
        <v>6495</v>
      </c>
      <c r="G1163" s="2396"/>
      <c r="H1163" s="2396"/>
      <c r="I1163" s="2396"/>
      <c r="J1163" s="2396"/>
      <c r="K1163" s="2396"/>
      <c r="L1163" s="2396"/>
      <c r="M1163" s="2396"/>
      <c r="N1163" s="2396"/>
      <c r="O1163" s="2911" t="s">
        <v>3809</v>
      </c>
      <c r="P1163" s="2311">
        <f>SUM(P1164:P1182)</f>
        <v>0</v>
      </c>
      <c r="Q1163" s="2900"/>
      <c r="R1163" s="2900"/>
      <c r="S1163" s="2900"/>
      <c r="T1163" s="2900"/>
      <c r="U1163" s="2900"/>
      <c r="V1163" s="2437"/>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2" t="s">
        <v>1668</v>
      </c>
      <c r="B1164" s="2402" t="s">
        <v>3393</v>
      </c>
      <c r="C1164" s="2405"/>
      <c r="D1164" s="2405"/>
      <c r="E1164" s="2913">
        <f>'Part VIII Scoring Criteria'!E13</f>
        <v>20</v>
      </c>
      <c r="F1164" s="2912" t="str">
        <f>'Part VIII Scoring Criteria'!F13</f>
        <v xml:space="preserve">The development has fourteen (15) desirable activities within 1.5 miles from the site entrance (per Google Maps). Six (6) of these activities are within .5 miles walking distance from the proposed site entrance. There are no undersirables near the site. Little Giant Farmers Market is located 0.3 miles from the site. </v>
      </c>
      <c r="G1164" s="2405"/>
      <c r="H1164" s="2405"/>
      <c r="I1164" s="2405"/>
      <c r="J1164" s="2405"/>
      <c r="K1164" s="2405"/>
      <c r="L1164" s="2405"/>
      <c r="M1164" s="2405"/>
      <c r="N1164" s="2405"/>
      <c r="O1164" s="2405"/>
      <c r="P1164" s="2914"/>
      <c r="Q1164" s="2900"/>
      <c r="R1164" s="2900"/>
      <c r="S1164" s="2900"/>
      <c r="T1164" s="2900"/>
      <c r="U1164" s="2900"/>
      <c r="V1164" s="2437"/>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2" t="s">
        <v>496</v>
      </c>
      <c r="B1165" s="2402" t="s">
        <v>4037</v>
      </c>
      <c r="C1165" s="2405"/>
      <c r="D1165" s="2405"/>
      <c r="E1165" s="2915">
        <f>'Part VIII Scoring Criteria'!E14</f>
        <v>4.5</v>
      </c>
      <c r="F1165" s="2912" t="str">
        <f>'Part VIII Scoring Criteria'!F14</f>
        <v>The development is located within a 0.4 mile walking distance to an established transit HUB that has 3 routes and runs Monday-Friday. The stop is labeled as stop #212419 per MARTAs interactive map and contains bus routes #89, #191, and #198. This service is provided to the general public, and is therefore available to all residents. The MARTA link above takes the user to the route search page allowing them to locate the stops along each route and see service times. Fares are a separate link for all MARTA services, and a PDF of this page is provided in 2702HelxWebPgCosts along with route maps for each route in the transit HUB and a Map from site to the transit HUB.</v>
      </c>
      <c r="G1165" s="2405"/>
      <c r="H1165" s="2405"/>
      <c r="I1165" s="2405"/>
      <c r="J1165" s="2405"/>
      <c r="K1165" s="2405"/>
      <c r="L1165" s="2405"/>
      <c r="M1165" s="2405"/>
      <c r="N1165" s="2405"/>
      <c r="O1165" s="2405"/>
      <c r="P1165" s="2914"/>
      <c r="Q1165" s="2900"/>
      <c r="R1165" s="2900"/>
      <c r="S1165" s="2900"/>
      <c r="T1165" s="2900"/>
      <c r="U1165" s="2900"/>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299.25">
      <c r="A1166" s="2912" t="s">
        <v>720</v>
      </c>
      <c r="B1166" s="2402" t="s">
        <v>3338</v>
      </c>
      <c r="C1166" s="2405"/>
      <c r="D1166" s="2405"/>
      <c r="E1166" s="2915">
        <f>'Part VIII Scoring Criteria'!E15</f>
        <v>3</v>
      </c>
      <c r="F1166" s="2912" t="str">
        <f>'Part VIII Scoring Criteria'!F15</f>
        <v>Project is achieving 3 points under VII. Quality Education Areas, Section B by having all grades K-12 achieving BTO designations in 2018.</v>
      </c>
      <c r="G1166" s="2405"/>
      <c r="H1166" s="2405"/>
      <c r="I1166" s="2405"/>
      <c r="J1166" s="2405"/>
      <c r="K1166" s="2405"/>
      <c r="L1166" s="2405"/>
      <c r="M1166" s="2405"/>
      <c r="N1166" s="2405"/>
      <c r="O1166" s="2405"/>
      <c r="P1166" s="2914"/>
      <c r="Q1166" s="2900"/>
      <c r="R1166" s="2900"/>
      <c r="S1166" s="2900"/>
      <c r="T1166" s="2900"/>
      <c r="U1166" s="2900"/>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2.75">
      <c r="A1167" s="2912" t="s">
        <v>280</v>
      </c>
      <c r="B1167" s="2402" t="s">
        <v>3394</v>
      </c>
      <c r="C1167" s="2405"/>
      <c r="D1167" s="2405"/>
      <c r="E1167" s="2915">
        <f>'Part VIII Scoring Criteria'!E16</f>
        <v>0</v>
      </c>
      <c r="F1167" s="2912" t="str">
        <f>'Part VIII Scoring Criteria'!F16</f>
        <v>This section is NA</v>
      </c>
      <c r="G1167" s="2405"/>
      <c r="H1167" s="2405"/>
      <c r="I1167" s="2405"/>
      <c r="J1167" s="2405"/>
      <c r="K1167" s="2405"/>
      <c r="L1167" s="2405"/>
      <c r="M1167" s="2405"/>
      <c r="N1167" s="2405"/>
      <c r="O1167" s="2405"/>
      <c r="P1167" s="2914"/>
      <c r="Q1167" s="2900"/>
      <c r="R1167" s="2900"/>
      <c r="S1167" s="2900"/>
      <c r="T1167" s="2900"/>
      <c r="U1167" s="2900"/>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2.75">
      <c r="A1168" s="2912" t="s">
        <v>401</v>
      </c>
      <c r="B1168" s="2402" t="s">
        <v>3395</v>
      </c>
      <c r="C1168" s="2405"/>
      <c r="D1168" s="2405"/>
      <c r="E1168" s="2913" t="str">
        <f>'Part VIII Scoring Criteria'!E17</f>
        <v>n/a</v>
      </c>
      <c r="F1168" s="2912" t="str">
        <f>'Part VIII Scoring Criteria'!F17</f>
        <v>This Section is NA</v>
      </c>
      <c r="G1168" s="2405"/>
      <c r="H1168" s="2405"/>
      <c r="I1168" s="2405"/>
      <c r="J1168" s="2405"/>
      <c r="K1168" s="2405"/>
      <c r="L1168" s="2405"/>
      <c r="M1168" s="2405"/>
      <c r="N1168" s="2405"/>
      <c r="O1168" s="2405"/>
      <c r="P1168" s="2914"/>
      <c r="Q1168" s="2900"/>
      <c r="R1168" s="2900"/>
      <c r="S1168" s="2900"/>
      <c r="T1168" s="2900"/>
      <c r="U1168" s="2900"/>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2" t="s">
        <v>342</v>
      </c>
      <c r="B1169" s="2402" t="s">
        <v>4038</v>
      </c>
      <c r="C1169" s="2405"/>
      <c r="D1169" s="2405"/>
      <c r="E1169" s="2913">
        <f>'Part VIII Scoring Criteria'!E18</f>
        <v>7</v>
      </c>
      <c r="F1169" s="2912" t="str">
        <f>'Part VIII Scoring Criteria'!F18</f>
        <v>The development is within .25 miles of census tract 13-063-0405.27, which is below the 5% poverty level for Metro sites and qualifies our application for 4 points. Additionally, Employment rate is above the 60th percentile for 2021 data, qulaifying for and additional 1 point. 
Justification for Health Insurance Coverage and Median Income points. Applicant is claiming points using 2019 dataset. This year is not available in the drop downs menu's above. Please see below;
2023_qap_qa_instructions_and_responses_040523 question number 021023_02_1067719476 states;
“Regarding Scoring Section - Stable Communities, B. Local Health and Economic Indicators: Can we use the scoring data that was available on November 1, 2022, or MUST we use the data that was released on December 20, 2022?” 
Answer states; “In the case of (Scoring) Stable Communities, Applicants may use either the scoring data that was available on November 1, 2022 or the data that was released on December 20, 2022. Both of these datasets are included in the “DCA Health and Economic Indicators Table" available at the link to the right.” 
The 2018, 2019, and 2020 dataset was available on November 1, 2022. The 2021 dataset was added on December 20, 2022, while the 2018 and 2019 was removed. Since the 2019 dataset was available on November 1, 2022, points are being claimed per the DCA response stated above and 2023 QAP - Documentation and Justifications, Section B.
The site's census tract number did not change in the 2020 update.
These datasets and the site's census tract information are included in Folder 31 of this application, along with all other required minimum documentation.</v>
      </c>
      <c r="G1169" s="2405"/>
      <c r="H1169" s="2405"/>
      <c r="I1169" s="2405"/>
      <c r="J1169" s="2405"/>
      <c r="K1169" s="2405"/>
      <c r="L1169" s="2405"/>
      <c r="M1169" s="2405"/>
      <c r="N1169" s="2405"/>
      <c r="O1169" s="2405"/>
      <c r="P1169" s="2914"/>
      <c r="Q1169" s="2437" t="str">
        <f>'Part VIII Scoring Criteria'!Q18</f>
        <v/>
      </c>
      <c r="R1169" s="2437"/>
      <c r="S1169" s="2437"/>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2.75">
      <c r="A1170" s="2912" t="s">
        <v>4040</v>
      </c>
      <c r="B1170" s="2402" t="s">
        <v>3261</v>
      </c>
      <c r="C1170" s="2405"/>
      <c r="D1170" s="2405"/>
      <c r="E1170" s="2913">
        <f>'Part VIII Scoring Criteria'!E19</f>
        <v>0</v>
      </c>
      <c r="F1170" s="2912" t="str">
        <f>'Part VIII Scoring Criteria'!F19</f>
        <v>This section is NA</v>
      </c>
      <c r="G1170" s="2405"/>
      <c r="H1170" s="2405"/>
      <c r="I1170" s="2405"/>
      <c r="J1170" s="2405"/>
      <c r="K1170" s="2405"/>
      <c r="L1170" s="2405"/>
      <c r="M1170" s="2405"/>
      <c r="N1170" s="2405"/>
      <c r="O1170" s="2405"/>
      <c r="P1170" s="2914"/>
      <c r="Q1170" s="2437"/>
      <c r="R1170" s="2437"/>
      <c r="S1170" s="2437"/>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2.75">
      <c r="A1171" s="2912" t="s">
        <v>4052</v>
      </c>
      <c r="B1171" s="2402" t="s">
        <v>4041</v>
      </c>
      <c r="C1171" s="2405"/>
      <c r="D1171" s="2405"/>
      <c r="E1171" s="2913">
        <f>'Part VIII Scoring Criteria'!E20</f>
        <v>0</v>
      </c>
      <c r="F1171" s="2912" t="str">
        <f>'Part VIII Scoring Criteria'!F20</f>
        <v>This section is NA</v>
      </c>
      <c r="G1171" s="2405"/>
      <c r="H1171" s="2405"/>
      <c r="I1171" s="2405"/>
      <c r="J1171" s="2405"/>
      <c r="K1171" s="2405"/>
      <c r="L1171" s="2405"/>
      <c r="M1171" s="2405"/>
      <c r="N1171" s="2405"/>
      <c r="O1171" s="2405"/>
      <c r="P1171" s="2914"/>
      <c r="Q1171" s="2437"/>
      <c r="R1171" s="2437"/>
      <c r="S1171" s="2437"/>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2" t="s">
        <v>6242</v>
      </c>
      <c r="B1172" s="2402" t="s">
        <v>4042</v>
      </c>
      <c r="C1172" s="2405"/>
      <c r="D1172" s="2405"/>
      <c r="E1172" s="2913">
        <f>'Part VIII Scoring Criteria'!E21</f>
        <v>5</v>
      </c>
      <c r="F1172" s="2912" t="str">
        <f>'Part VIII Scoring Criteria'!F21</f>
        <v>The project is located in the local government boundary of Clayton County, outside of any city's jurisdiction. There have been no 9% allocations in unincorporated Clayton County within the last 15 years. The DCA projects map is included in the Previous Projects folder.</v>
      </c>
      <c r="G1172" s="2405"/>
      <c r="H1172" s="2405"/>
      <c r="I1172" s="2405"/>
      <c r="J1172" s="2405"/>
      <c r="K1172" s="2405"/>
      <c r="L1172" s="2405"/>
      <c r="M1172" s="2405"/>
      <c r="N1172" s="2405"/>
      <c r="O1172" s="2405"/>
      <c r="P1172" s="2914"/>
      <c r="Q1172" s="2437"/>
      <c r="R1172" s="2437"/>
      <c r="S1172" s="2437"/>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28.25">
      <c r="A1173" s="2912" t="s">
        <v>6636</v>
      </c>
      <c r="B1173" s="2402" t="s">
        <v>6548</v>
      </c>
      <c r="C1173" s="2405"/>
      <c r="D1173" s="2405"/>
      <c r="E1173" s="2913">
        <f>'Part VIII Scoring Criteria'!E22</f>
        <v>0</v>
      </c>
      <c r="F1173" s="2912" t="str">
        <f>'Part VIII Scoring Criteria'!F22</f>
        <v>The project is not in the Atlanta Metro. This section is NA.</v>
      </c>
      <c r="G1173" s="2405"/>
      <c r="H1173" s="2405"/>
      <c r="I1173" s="2405"/>
      <c r="J1173" s="2405"/>
      <c r="K1173" s="2405"/>
      <c r="L1173" s="2405"/>
      <c r="M1173" s="2405"/>
      <c r="N1173" s="2405"/>
      <c r="O1173" s="2405"/>
      <c r="P1173" s="2914"/>
      <c r="Q1173" s="2437"/>
      <c r="R1173" s="2437"/>
      <c r="S1173" s="2437"/>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2" t="s">
        <v>6638</v>
      </c>
      <c r="B1174" s="2402" t="s">
        <v>6637</v>
      </c>
      <c r="C1174" s="2405"/>
      <c r="D1174" s="2405"/>
      <c r="E1174" s="2913">
        <f>'Part VIII Scoring Criteria'!E23</f>
        <v>2</v>
      </c>
      <c r="F1174" s="2912" t="str">
        <f>'Part VIII Scoring Criteria'!F23</f>
        <v>Project is claiming points in QAP section XVII Minority and Women-Owner Business Engagement under sub-section A. The applicant has a policy that is shared with it's General Contracting team to advertise to potential MBE/WBE businesses, and will submit a report detailing our efforts to achieve this commitment with the Final Allocation Application.</v>
      </c>
      <c r="G1174" s="2405"/>
      <c r="H1174" s="2405"/>
      <c r="I1174" s="2405"/>
      <c r="J1174" s="2405"/>
      <c r="K1174" s="2405"/>
      <c r="L1174" s="2405"/>
      <c r="M1174" s="2405"/>
      <c r="N1174" s="2405"/>
      <c r="O1174" s="2405"/>
      <c r="P1174" s="2914"/>
      <c r="Q1174" s="2437"/>
      <c r="R1174" s="2437"/>
      <c r="S1174" s="2437"/>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2" t="s">
        <v>3368</v>
      </c>
      <c r="B1175" s="2402" t="s">
        <v>6554</v>
      </c>
      <c r="C1175" s="2405"/>
      <c r="D1175" s="2405"/>
      <c r="E1175" s="2913">
        <f>'Part VIII Scoring Criteria'!E24</f>
        <v>2</v>
      </c>
      <c r="F1175" s="2912" t="str">
        <f>'Part VIII Scoring Criteria'!F24</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G1175" s="2405"/>
      <c r="H1175" s="2405"/>
      <c r="I1175" s="2405"/>
      <c r="J1175" s="2405"/>
      <c r="K1175" s="2405"/>
      <c r="L1175" s="2405"/>
      <c r="M1175" s="2405"/>
      <c r="N1175" s="2405"/>
      <c r="O1175" s="2405"/>
      <c r="P1175" s="2914"/>
      <c r="Q1175" s="2437"/>
      <c r="R1175" s="2437"/>
      <c r="S1175" s="2437"/>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2.75">
      <c r="A1176" s="2912" t="s">
        <v>3372</v>
      </c>
      <c r="B1176" s="2402" t="s">
        <v>3396</v>
      </c>
      <c r="C1176" s="2405"/>
      <c r="D1176" s="2405"/>
      <c r="E1176" s="2913">
        <f>'Part VIII Scoring Criteria'!E25</f>
        <v>0</v>
      </c>
      <c r="F1176" s="2912" t="str">
        <f>'Part VIII Scoring Criteria'!F25</f>
        <v>This section is NA</v>
      </c>
      <c r="G1176" s="2405"/>
      <c r="H1176" s="2405"/>
      <c r="I1176" s="2405"/>
      <c r="J1176" s="2405"/>
      <c r="K1176" s="2405"/>
      <c r="L1176" s="2405"/>
      <c r="M1176" s="2405"/>
      <c r="N1176" s="2405"/>
      <c r="O1176" s="2405"/>
      <c r="P1176" s="2914"/>
      <c r="Q1176" s="2437"/>
      <c r="R1176" s="2437"/>
      <c r="S1176" s="2437"/>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2.75">
      <c r="A1177" s="2912" t="s">
        <v>3375</v>
      </c>
      <c r="B1177" s="2402" t="s">
        <v>3397</v>
      </c>
      <c r="C1177" s="2405"/>
      <c r="D1177" s="2405"/>
      <c r="E1177" s="2913">
        <f>'Part VIII Scoring Criteria'!E26</f>
        <v>0</v>
      </c>
      <c r="F1177" s="2912" t="str">
        <f>'Part VIII Scoring Criteria'!F26</f>
        <v>This section is NA</v>
      </c>
      <c r="G1177" s="2405"/>
      <c r="H1177" s="2405"/>
      <c r="I1177" s="2405"/>
      <c r="J1177" s="2405"/>
      <c r="K1177" s="2405"/>
      <c r="L1177" s="2405"/>
      <c r="M1177" s="2405"/>
      <c r="N1177" s="2405"/>
      <c r="O1177" s="2405"/>
      <c r="P1177" s="2914"/>
      <c r="Q1177" s="2437"/>
      <c r="R1177" s="2437"/>
      <c r="S1177" s="2437"/>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2.75">
      <c r="A1178" s="2912" t="s">
        <v>3376</v>
      </c>
      <c r="B1178" s="2402" t="s">
        <v>3398</v>
      </c>
      <c r="C1178" s="2405"/>
      <c r="D1178" s="2405"/>
      <c r="E1178" s="2913">
        <f>'Part VIII Scoring Criteria'!E27</f>
        <v>0</v>
      </c>
      <c r="F1178" s="2912" t="str">
        <f>'Part VIII Scoring Criteria'!F27</f>
        <v>This section is NA</v>
      </c>
      <c r="G1178" s="2405"/>
      <c r="H1178" s="2405"/>
      <c r="I1178" s="2405"/>
      <c r="J1178" s="2405"/>
      <c r="K1178" s="2405"/>
      <c r="L1178" s="2405"/>
      <c r="M1178" s="2405"/>
      <c r="N1178" s="2405"/>
      <c r="O1178" s="2405"/>
      <c r="P1178" s="2914"/>
      <c r="Q1178" s="2462"/>
      <c r="R1178" s="2462"/>
      <c r="S1178" s="2462"/>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2" t="s">
        <v>3378</v>
      </c>
      <c r="B1179" s="2402" t="s">
        <v>6635</v>
      </c>
      <c r="C1179" s="2405"/>
      <c r="D1179" s="2405"/>
      <c r="E1179" s="2913">
        <f>'Part VIII Scoring Criteria'!E28</f>
        <v>3</v>
      </c>
      <c r="F1179" s="2912" t="str">
        <f>'Part VIII Scoring Criteria'!F28</f>
        <v>Applicant is achieving 3 points in this section per XXIV. Integrated Supportive Housing - Sections A and D. 
Kenneth Blankenship, a member of the certifying GP, maintains 811 contracts with DCA at multiple properties, totaling 39 units since 2012. Ken and his team have been willing to take 811 residents at all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G1179" s="2405"/>
      <c r="H1179" s="2405"/>
      <c r="I1179" s="2405"/>
      <c r="J1179" s="2405"/>
      <c r="K1179" s="2405"/>
      <c r="L1179" s="2405"/>
      <c r="M1179" s="2405"/>
      <c r="N1179" s="2405"/>
      <c r="O1179" s="2405"/>
      <c r="P1179" s="2914"/>
      <c r="Q1179" s="2462"/>
      <c r="R1179" s="2462"/>
      <c r="S1179" s="2462"/>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2" t="s">
        <v>3379</v>
      </c>
      <c r="B1180" s="2402" t="s">
        <v>6131</v>
      </c>
      <c r="C1180" s="2405"/>
      <c r="D1180" s="2405"/>
      <c r="E1180" s="2913">
        <f>'Part VIII Scoring Criteria'!E29</f>
        <v>0</v>
      </c>
      <c r="F1180" s="2912" t="str">
        <f>'Part VIII Scoring Criteria'!F29</f>
        <v>This section is NA</v>
      </c>
      <c r="G1180" s="2405"/>
      <c r="H1180" s="2405"/>
      <c r="I1180" s="2405"/>
      <c r="J1180" s="2405"/>
      <c r="K1180" s="2405"/>
      <c r="L1180" s="2405"/>
      <c r="M1180" s="2405"/>
      <c r="N1180" s="2405"/>
      <c r="O1180" s="2405"/>
      <c r="P1180" s="2914"/>
      <c r="Q1180" s="2462"/>
      <c r="R1180" s="2462"/>
      <c r="S1180" s="2462"/>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2.75">
      <c r="A1181" s="2912" t="s">
        <v>3802</v>
      </c>
      <c r="B1181" s="2402" t="s">
        <v>6552</v>
      </c>
      <c r="C1181" s="2405"/>
      <c r="D1181" s="2405"/>
      <c r="E1181" s="2913">
        <f>'Part VIII Scoring Criteria'!E30</f>
        <v>0</v>
      </c>
      <c r="F1181" s="2912" t="str">
        <f>'Part VIII Scoring Criteria'!F30</f>
        <v>This section is NA</v>
      </c>
      <c r="G1181" s="2405"/>
      <c r="H1181" s="2405"/>
      <c r="I1181" s="2405"/>
      <c r="J1181" s="2405"/>
      <c r="K1181" s="2405"/>
      <c r="L1181" s="2405"/>
      <c r="M1181" s="2405"/>
      <c r="N1181" s="2405"/>
      <c r="O1181" s="2405"/>
      <c r="P1181" s="2914"/>
      <c r="Q1181" s="2462"/>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2" t="s">
        <v>6555</v>
      </c>
      <c r="B1182" s="2402" t="s">
        <v>6553</v>
      </c>
      <c r="C1182" s="2405"/>
      <c r="D1182" s="2405"/>
      <c r="E1182" s="2913">
        <f>'Part VIII Scoring Criteria'!E31</f>
        <v>0</v>
      </c>
      <c r="F1182" s="2912" t="str">
        <f>'Part VIII Scoring Criteria'!F31</f>
        <v>This section is NA</v>
      </c>
      <c r="G1182" s="2405"/>
      <c r="H1182" s="2405"/>
      <c r="I1182" s="2405"/>
      <c r="J1182" s="2405"/>
      <c r="K1182" s="2405"/>
      <c r="L1182" s="2405"/>
      <c r="M1182" s="2405"/>
      <c r="N1182" s="2405"/>
      <c r="O1182" s="2405"/>
      <c r="P1182" s="2914"/>
      <c r="Q1182" s="2462"/>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6" t="s">
        <v>6916</v>
      </c>
      <c r="B1183" s="2402" t="s">
        <v>6932</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5">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4048" t="s">
        <v>6944</v>
      </c>
      <c r="B1185" s="4048"/>
      <c r="C1185" s="4048"/>
      <c r="D1185" s="4048"/>
      <c r="E1185" s="2396"/>
      <c r="F1185" s="2462" t="s">
        <v>6880</v>
      </c>
      <c r="G1185" s="2462"/>
      <c r="H1185" s="2462"/>
      <c r="I1185" s="2462"/>
      <c r="J1185" s="2198" t="s">
        <v>6139</v>
      </c>
      <c r="K1185" s="2198"/>
      <c r="L1185" s="2198"/>
      <c r="M1185" s="2198"/>
      <c r="N1185" s="2341"/>
      <c r="O1185" s="2199" t="s">
        <v>6881</v>
      </c>
      <c r="P1185" s="2199"/>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6906</v>
      </c>
      <c r="B1186" s="2396"/>
      <c r="C1186" s="2311" t="s">
        <v>2889</v>
      </c>
      <c r="D1186" s="2311" t="s">
        <v>245</v>
      </c>
      <c r="E1186" s="2396"/>
      <c r="F1186" s="2462"/>
      <c r="G1186" s="2462"/>
      <c r="H1186" s="2462"/>
      <c r="I1186" s="2462"/>
      <c r="J1186" s="2198"/>
      <c r="K1186" s="2198"/>
      <c r="L1186" s="2198"/>
      <c r="M1186" s="2198"/>
      <c r="N1186" s="2341"/>
      <c r="O1186" s="2199"/>
      <c r="P1186" s="2199"/>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8" t="str">
        <f>'Part VIII Scoring Criteria'!F36</f>
        <v>New Supply</v>
      </c>
      <c r="G1187" s="2198"/>
      <c r="H1187" s="2198"/>
      <c r="I1187" s="2198"/>
      <c r="J1187" s="2198" t="str">
        <f>'Part VIII Scoring Criteria'!J36</f>
        <v>Other Metro</v>
      </c>
      <c r="K1187" s="2198"/>
      <c r="L1187" s="2198"/>
      <c r="M1187" s="2198"/>
      <c r="N1187" s="2341"/>
      <c r="O1187" s="2198" t="str">
        <f>'Part VIII Scoring Criteria'!O36</f>
        <v>9%</v>
      </c>
      <c r="P1187" s="2198"/>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8"/>
      <c r="B1188" s="2396"/>
      <c r="C1188" s="2198"/>
      <c r="D1188" s="2198"/>
      <c r="E1188" s="2396"/>
      <c r="F1188" s="2198"/>
      <c r="G1188" s="2198"/>
      <c r="H1188" s="2198"/>
      <c r="I1188" s="2198"/>
      <c r="J1188" s="2198"/>
      <c r="K1188" s="2198"/>
      <c r="L1188" s="2198"/>
      <c r="M1188" s="2198"/>
      <c r="N1188" s="2341"/>
      <c r="O1188" s="2198"/>
      <c r="P1188" s="2198"/>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5">
      <c r="A1189" s="2199"/>
      <c r="B1189" s="2539"/>
      <c r="C1189" s="2199"/>
      <c r="D1189" s="2198"/>
      <c r="E1189" s="2199"/>
      <c r="F1189" s="2199"/>
      <c r="G1189" s="2540"/>
      <c r="H1189" s="2540"/>
      <c r="I1189" s="2540"/>
      <c r="J1189" s="2540"/>
      <c r="K1189" s="2540"/>
      <c r="L1189" s="2540"/>
      <c r="M1189" s="2311"/>
      <c r="N1189" s="2341"/>
      <c r="O1189" s="2395"/>
      <c r="P1189" s="2499"/>
      <c r="Q1189" s="2396"/>
      <c r="R1189" s="2199"/>
      <c r="S1189" s="2199"/>
      <c r="T1189" s="2199"/>
      <c r="U1189" s="2199"/>
      <c r="V1189" s="2199"/>
      <c r="W1189" s="2199"/>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5">
      <c r="A1190" s="2199"/>
      <c r="B1190" s="2539"/>
      <c r="C1190" s="2199"/>
      <c r="D1190" s="2198"/>
      <c r="E1190" s="2199"/>
      <c r="F1190" s="2199"/>
      <c r="G1190" s="2540"/>
      <c r="H1190" s="2540"/>
      <c r="I1190" s="2540"/>
      <c r="J1190" s="2540"/>
      <c r="K1190" s="2540"/>
      <c r="L1190" s="2540"/>
      <c r="M1190" s="2311"/>
      <c r="N1190" s="2341"/>
      <c r="O1190" s="2395"/>
      <c r="P1190" s="2499"/>
      <c r="Q1190" s="2396"/>
      <c r="R1190" s="2199"/>
      <c r="S1190" s="2199"/>
      <c r="T1190" s="2199"/>
      <c r="U1190" s="2199"/>
      <c r="V1190" s="2199"/>
      <c r="W1190" s="2199"/>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5">
      <c r="A1191" s="2463" t="s">
        <v>691</v>
      </c>
      <c r="B1191" s="2464" t="s">
        <v>2496</v>
      </c>
      <c r="C1191" s="2198"/>
      <c r="D1191" s="2198"/>
      <c r="E1191" s="2198"/>
      <c r="F1191" s="2199"/>
      <c r="G1191" s="2199"/>
      <c r="H1191" s="2199"/>
      <c r="I1191" s="2199"/>
      <c r="J1191" s="2199"/>
      <c r="K1191" s="2199"/>
      <c r="L1191" s="2199"/>
      <c r="M1191" s="2499">
        <v>10</v>
      </c>
      <c r="N1191" s="2311"/>
      <c r="O1191" s="2395">
        <f>'Part VIII Scoring Criteria'!O40</f>
        <v>10</v>
      </c>
      <c r="P1191" s="2395">
        <f>'Part VIII Scoring Criteria'!P40</f>
        <v>10</v>
      </c>
      <c r="Q1191" s="2499"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39"/>
      <c r="C1192" s="2199"/>
      <c r="D1192" s="2199"/>
      <c r="E1192" s="2199"/>
      <c r="F1192" s="2199"/>
      <c r="G1192" s="2199"/>
      <c r="H1192" s="2199"/>
      <c r="I1192" s="2199"/>
      <c r="J1192" s="2199"/>
      <c r="K1192" s="2199"/>
      <c r="L1192" s="2199"/>
      <c r="M1192" s="2311"/>
      <c r="N1192" s="2341"/>
      <c r="O1192" s="2395"/>
      <c r="P1192" s="2499"/>
      <c r="Q1192" s="2396"/>
      <c r="R1192" s="2199"/>
      <c r="S1192" s="2199"/>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5">
      <c r="A1193" s="2539" t="s">
        <v>1841</v>
      </c>
      <c r="B1193" s="2198" t="s">
        <v>3804</v>
      </c>
      <c r="C1193" s="2199"/>
      <c r="D1193" s="2199"/>
      <c r="E1193" s="2199"/>
      <c r="F1193" s="2311"/>
      <c r="G1193" s="2199"/>
      <c r="H1193" s="2199"/>
      <c r="I1193" s="2199"/>
      <c r="J1193" s="2199"/>
      <c r="K1193" s="2199"/>
      <c r="L1193" s="2199"/>
      <c r="M1193" s="2199"/>
      <c r="N1193" s="2467"/>
      <c r="O1193" s="2199"/>
      <c r="P1193" s="2917">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39"/>
      <c r="B1194" s="2918" t="s">
        <v>1844</v>
      </c>
      <c r="C1194" s="2199" t="s">
        <v>3807</v>
      </c>
      <c r="D1194" s="2199"/>
      <c r="E1194" s="2199"/>
      <c r="F1194" s="2311"/>
      <c r="G1194" s="2396"/>
      <c r="H1194" s="2199"/>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5">
      <c r="A1195" s="2539"/>
      <c r="B1195" s="2918" t="s">
        <v>1846</v>
      </c>
      <c r="C1195" s="2199" t="s">
        <v>6872</v>
      </c>
      <c r="D1195" s="2199"/>
      <c r="E1195" s="2199"/>
      <c r="F1195" s="2311"/>
      <c r="G1195" s="2396"/>
      <c r="H1195" s="2199"/>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5">
      <c r="A1196" s="2539"/>
      <c r="B1196" s="2918" t="s">
        <v>2332</v>
      </c>
      <c r="C1196" s="2199" t="s">
        <v>3806</v>
      </c>
      <c r="D1196" s="2199"/>
      <c r="E1196" s="2199"/>
      <c r="F1196" s="2311"/>
      <c r="G1196" s="2396"/>
      <c r="H1196" s="2199"/>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7011</v>
      </c>
      <c r="D1197" s="2405"/>
      <c r="E1197" s="2405"/>
      <c r="F1197" s="2405"/>
      <c r="G1197" s="2405"/>
      <c r="H1197" s="2405"/>
      <c r="I1197" s="2405"/>
      <c r="J1197" s="2405"/>
      <c r="K1197" s="2405"/>
      <c r="L1197" s="2405"/>
      <c r="M1197" s="2405"/>
      <c r="N1197" s="2405"/>
      <c r="O1197" s="2405"/>
      <c r="P1197" s="2405"/>
      <c r="Q1197" s="2198"/>
      <c r="R1197" s="2198"/>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5">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5">
      <c r="A1199" s="2539" t="s">
        <v>1843</v>
      </c>
      <c r="B1199" s="2198" t="s">
        <v>679</v>
      </c>
      <c r="C1199" s="2199"/>
      <c r="D1199" s="2199"/>
      <c r="E1199" s="2199"/>
      <c r="F1199" s="2311"/>
      <c r="G1199" s="2199"/>
      <c r="H1199" s="2199"/>
      <c r="I1199" s="2199"/>
      <c r="J1199" s="2909"/>
      <c r="K1199" s="2199"/>
      <c r="L1199" s="2199"/>
      <c r="M1199" s="2311"/>
      <c r="N1199" s="2467" t="s">
        <v>1843</v>
      </c>
      <c r="O1199" s="2199"/>
      <c r="P1199" s="2540">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7012</v>
      </c>
      <c r="B1201" s="2462"/>
      <c r="C1201" s="2462"/>
      <c r="D1201" s="2462"/>
      <c r="E1201" s="2462"/>
      <c r="F1201" s="2311" t="s">
        <v>3178</v>
      </c>
      <c r="G1201" s="2462" t="s">
        <v>7013</v>
      </c>
      <c r="H1201" s="2462"/>
      <c r="I1201" s="2462"/>
      <c r="J1201" s="2311" t="s">
        <v>3178</v>
      </c>
      <c r="K1201" s="2922" t="s">
        <v>7014</v>
      </c>
      <c r="L1201" s="2922"/>
      <c r="M1201" s="2922"/>
      <c r="N1201" s="2922"/>
      <c r="O1201" s="2199" t="s">
        <v>3178</v>
      </c>
      <c r="P1201" s="2199"/>
      <c r="Q1201" s="2199"/>
      <c r="R1201" s="2198"/>
      <c r="S1201" s="2462"/>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2"/>
      <c r="B1202" s="2462"/>
      <c r="C1202" s="2462"/>
      <c r="D1202" s="2462"/>
      <c r="E1202" s="2462"/>
      <c r="F1202" s="2499">
        <f>SUM(F1203:F1214)</f>
        <v>0</v>
      </c>
      <c r="G1202" s="2462"/>
      <c r="H1202" s="2462"/>
      <c r="I1202" s="2462"/>
      <c r="J1202" s="2499">
        <f>SUM(J1203:J1214)</f>
        <v>0</v>
      </c>
      <c r="K1202" s="2922"/>
      <c r="L1202" s="2922"/>
      <c r="M1202" s="2922"/>
      <c r="N1202" s="2922"/>
      <c r="O1202" s="2198">
        <f>SUM(O1203:O1214)</f>
        <v>0</v>
      </c>
      <c r="P1202" s="2198"/>
      <c r="Q1202" s="2198"/>
      <c r="R1202" s="2462"/>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5">
        <v>1</v>
      </c>
      <c r="B1203" s="2405"/>
      <c r="C1203" s="2405"/>
      <c r="D1203" s="2405"/>
      <c r="E1203" s="2405"/>
      <c r="F1203" s="2914"/>
      <c r="G1203" s="2405">
        <v>1</v>
      </c>
      <c r="H1203" s="2405"/>
      <c r="I1203" s="2405"/>
      <c r="J1203" s="2914" t="s">
        <v>1610</v>
      </c>
      <c r="K1203" s="2405">
        <v>1</v>
      </c>
      <c r="L1203" s="2405"/>
      <c r="M1203" s="2405"/>
      <c r="N1203" s="2405"/>
      <c r="O1203" s="2900" t="s">
        <v>1610</v>
      </c>
      <c r="P1203" s="2900"/>
      <c r="Q1203" s="2198"/>
      <c r="R1203" s="2462"/>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5">
        <v>2</v>
      </c>
      <c r="B1204" s="2405"/>
      <c r="C1204" s="2405"/>
      <c r="D1204" s="2405"/>
      <c r="E1204" s="2405"/>
      <c r="F1204" s="2914"/>
      <c r="G1204" s="2405">
        <v>2</v>
      </c>
      <c r="H1204" s="2405"/>
      <c r="I1204" s="2405"/>
      <c r="J1204" s="2914"/>
      <c r="K1204" s="2405">
        <v>2</v>
      </c>
      <c r="L1204" s="2405"/>
      <c r="M1204" s="2405"/>
      <c r="N1204" s="2405"/>
      <c r="O1204" s="2900"/>
      <c r="P1204" s="2900"/>
      <c r="Q1204" s="2198"/>
      <c r="R1204" s="2462"/>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5">
        <v>12</v>
      </c>
      <c r="B1214" s="2405"/>
      <c r="C1214" s="2405"/>
      <c r="D1214" s="2405"/>
      <c r="E1214" s="2405"/>
      <c r="F1214" s="2914"/>
      <c r="G1214" s="2405">
        <v>12</v>
      </c>
      <c r="H1214" s="2405"/>
      <c r="I1214" s="2405"/>
      <c r="J1214" s="2914"/>
      <c r="K1214" s="2405">
        <v>12</v>
      </c>
      <c r="L1214" s="2405"/>
      <c r="M1214" s="2405"/>
      <c r="N1214" s="2405"/>
      <c r="O1214" s="2900"/>
      <c r="P1214" s="2900"/>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2"/>
      <c r="B1215" s="2912"/>
      <c r="C1215" s="2912"/>
      <c r="D1215" s="2912"/>
      <c r="E1215" s="2912"/>
      <c r="F1215" s="2914"/>
      <c r="G1215" s="2912"/>
      <c r="H1215" s="2912"/>
      <c r="I1215" s="2912"/>
      <c r="J1215" s="2914"/>
      <c r="K1215" s="2912"/>
      <c r="L1215" s="2912"/>
      <c r="M1215" s="2912"/>
      <c r="N1215" s="2912"/>
      <c r="O1215" s="2914"/>
      <c r="P1215" s="2914"/>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6"/>
      <c r="B1216" s="2396"/>
      <c r="C1216" s="2396"/>
      <c r="D1216" s="2199"/>
      <c r="E1216" s="2199"/>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5">
      <c r="A1217" s="2463" t="s">
        <v>1666</v>
      </c>
      <c r="B1217" s="2464" t="s">
        <v>3148</v>
      </c>
      <c r="C1217" s="2199"/>
      <c r="D1217" s="2199"/>
      <c r="E1217" s="2199"/>
      <c r="F1217" s="2199"/>
      <c r="G1217" s="2198"/>
      <c r="H1217" s="2199"/>
      <c r="I1217" s="2198"/>
      <c r="J1217" s="2499"/>
      <c r="K1217" s="2499"/>
      <c r="L1217" s="2499"/>
      <c r="M1217" s="2499">
        <v>3</v>
      </c>
      <c r="N1217" s="2311"/>
      <c r="O1217" s="2395">
        <f>'Part VIII Scoring Criteria'!O66</f>
        <v>2</v>
      </c>
      <c r="P1217" s="2395">
        <f>'Part VIII Scoring Criteria'!P66</f>
        <v>0</v>
      </c>
      <c r="Q1217" s="2499" t="s">
        <v>416</v>
      </c>
      <c r="R1217" s="2199"/>
      <c r="S1217" s="2404"/>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3"/>
      <c r="B1218" s="2924"/>
      <c r="C1218" s="2396"/>
      <c r="D1218" s="2396"/>
      <c r="E1218" s="2199"/>
      <c r="F1218" s="2396" t="s">
        <v>3817</v>
      </c>
      <c r="G1218" s="2404"/>
      <c r="H1218" s="2199"/>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5">
      <c r="A1219" s="2539" t="s">
        <v>1841</v>
      </c>
      <c r="B1219" s="2928" t="s">
        <v>6876</v>
      </c>
      <c r="C1219" s="2437"/>
      <c r="D1219" s="2437"/>
      <c r="E1219" s="2437"/>
      <c r="F1219" s="2437"/>
      <c r="G1219" s="2396" t="s">
        <v>6645</v>
      </c>
      <c r="H1219" s="2199"/>
      <c r="I1219" s="2199"/>
      <c r="J1219" s="2929" t="str">
        <f>'Part V-Revenues &amp; Expenses'!$O$53</f>
        <v>40% of Units at 60% of AMI</v>
      </c>
      <c r="K1219" s="2199"/>
      <c r="L1219" s="2437"/>
      <c r="M1219" s="2499">
        <v>2</v>
      </c>
      <c r="N1219" s="2919"/>
      <c r="O1219" s="2906">
        <f>'Part VIII Scoring Criteria'!O68</f>
        <v>2</v>
      </c>
      <c r="P1219" s="2906">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39"/>
      <c r="B1220" s="2930"/>
      <c r="C1220" s="2612" t="s">
        <v>3812</v>
      </c>
      <c r="D1220" s="2199"/>
      <c r="E1220" s="2199"/>
      <c r="F1220" s="2199"/>
      <c r="G1220" s="2199" t="s">
        <v>3813</v>
      </c>
      <c r="H1220" s="2199"/>
      <c r="I1220" s="2199"/>
      <c r="J1220" s="2931">
        <f>'Part V-Revenues &amp; Expenses'!$B$50</f>
        <v>57.875</v>
      </c>
      <c r="K1220" s="2199"/>
      <c r="L1220" s="2465"/>
      <c r="M1220" s="2311">
        <v>2</v>
      </c>
      <c r="N1220" s="2932"/>
      <c r="O1220" s="2395">
        <f>'Part VIII Scoring Criteria'!O69</f>
        <v>0</v>
      </c>
      <c r="P1220" s="2395"/>
      <c r="Q1220" s="2933" t="str">
        <f>IF(OR($O1220=$M1220,$O1220=0,$O1220=""),"","*CHECK!*")</f>
        <v/>
      </c>
      <c r="R1220" s="2928"/>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39"/>
      <c r="B1221" s="2930"/>
      <c r="C1221" s="2612" t="s">
        <v>3814</v>
      </c>
      <c r="D1221" s="2199"/>
      <c r="E1221" s="2199"/>
      <c r="F1221" s="2199"/>
      <c r="G1221" s="2199"/>
      <c r="H1221" s="2199"/>
      <c r="I1221" s="2199"/>
      <c r="J1221" s="2199"/>
      <c r="K1221" s="2465"/>
      <c r="L1221" s="2465"/>
      <c r="M1221" s="2311">
        <v>2</v>
      </c>
      <c r="N1221" s="2932"/>
      <c r="O1221" s="2395">
        <f>'Part VIII Scoring Criteria'!O70</f>
        <v>2</v>
      </c>
      <c r="P1221" s="2395"/>
      <c r="Q1221" s="2933" t="str">
        <f>IF(OR($O1221=$M1221,$O1221=0,$O1221=""),"","*CHECK!*")</f>
        <v/>
      </c>
      <c r="R1221" s="2928"/>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5">
      <c r="A1223" s="2539" t="s">
        <v>1843</v>
      </c>
      <c r="B1223" s="2928" t="s">
        <v>6879</v>
      </c>
      <c r="C1223" s="2396"/>
      <c r="D1223" s="2396"/>
      <c r="E1223" s="2396"/>
      <c r="F1223" s="2396"/>
      <c r="G1223" s="2397" t="s">
        <v>6844</v>
      </c>
      <c r="H1223" s="2396"/>
      <c r="I1223" s="2199"/>
      <c r="J1223" s="2921">
        <f>IF(OR('Part V-Revenues &amp; Expenses'!$P$65="", 'Part V-Revenues &amp; Expenses'!$P$65=0),0,'Part V-Revenues &amp; Expenses'!$P$100/'Part V-Revenues &amp; Expenses'!$P$65)</f>
        <v>0</v>
      </c>
      <c r="K1223" s="2396"/>
      <c r="L1223" s="2396"/>
      <c r="M1223" s="2499">
        <v>3</v>
      </c>
      <c r="N1223" s="2934"/>
      <c r="O1223" s="2395">
        <f>'Part VIII Scoring Criteria'!O72</f>
        <v>0</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5">
      <c r="A1224" s="2199"/>
      <c r="B1224" s="2909" t="s">
        <v>1730</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5">
      <c r="A1225" s="2405"/>
      <c r="B1225" s="2405"/>
      <c r="C1225" s="2405"/>
      <c r="D1225" s="2405"/>
      <c r="E1225" s="2405"/>
      <c r="F1225" s="2405"/>
      <c r="G1225" s="2405"/>
      <c r="H1225" s="2405"/>
      <c r="I1225" s="2405"/>
      <c r="J1225" s="2405"/>
      <c r="K1225" s="2405"/>
      <c r="L1225" s="2405"/>
      <c r="M1225" s="2405"/>
      <c r="N1225" s="2405"/>
      <c r="O1225" s="2405"/>
      <c r="P1225" s="2405"/>
      <c r="Q1225" s="2198"/>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5">
      <c r="A1226" s="2912"/>
      <c r="B1226" s="2912"/>
      <c r="C1226" s="2912"/>
      <c r="D1226" s="2912"/>
      <c r="E1226" s="2912"/>
      <c r="F1226" s="2912"/>
      <c r="G1226" s="2912"/>
      <c r="H1226" s="2912"/>
      <c r="I1226" s="2912"/>
      <c r="J1226" s="2912"/>
      <c r="K1226" s="2912"/>
      <c r="L1226" s="2912"/>
      <c r="M1226" s="2912"/>
      <c r="N1226" s="2912"/>
      <c r="O1226" s="2912"/>
      <c r="P1226" s="2912"/>
      <c r="Q1226" s="2198"/>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5">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5">
      <c r="A1228" s="2463" t="s">
        <v>1668</v>
      </c>
      <c r="B1228" s="2464" t="s">
        <v>3367</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416</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5">
      <c r="A1229" s="2539" t="s">
        <v>1841</v>
      </c>
      <c r="B1229" s="2198" t="s">
        <v>1737</v>
      </c>
      <c r="C1229" s="2198"/>
      <c r="D1229" s="2198"/>
      <c r="E1229" s="2199"/>
      <c r="F1229" s="2198"/>
      <c r="G1229" s="2199"/>
      <c r="H1229" s="2467"/>
      <c r="I1229" s="2462"/>
      <c r="J1229" s="2462"/>
      <c r="K1229" s="2462"/>
      <c r="L1229" s="2462"/>
      <c r="M1229" s="2311">
        <v>20</v>
      </c>
      <c r="N1229" s="2932"/>
      <c r="O1229" s="2907">
        <f>'Part VIII Scoring Criteria'!O78</f>
        <v>20</v>
      </c>
      <c r="P1229" s="2907"/>
      <c r="Q1229" s="2933"/>
      <c r="R1229" s="2928"/>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39" t="s">
        <v>1843</v>
      </c>
      <c r="B1230" s="2198" t="s">
        <v>3279</v>
      </c>
      <c r="C1230" s="2199"/>
      <c r="D1230" s="2199"/>
      <c r="E1230" s="2199"/>
      <c r="F1230" s="2199"/>
      <c r="G1230" s="2199"/>
      <c r="H1230" s="2467"/>
      <c r="I1230" s="2462"/>
      <c r="J1230" s="2462"/>
      <c r="K1230" s="2462"/>
      <c r="L1230" s="2462"/>
      <c r="M1230" s="2311" t="s">
        <v>1164</v>
      </c>
      <c r="N1230" s="2467"/>
      <c r="O1230" s="2907">
        <f>'Part VIII Scoring Criteria'!O79</f>
        <v>0</v>
      </c>
      <c r="P1230" s="2907"/>
      <c r="Q1230" s="2199"/>
      <c r="R1230" s="2928"/>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4" t="s">
        <v>3240</v>
      </c>
      <c r="C1231" s="2199"/>
      <c r="D1231" s="2199"/>
      <c r="E1231" s="2199"/>
      <c r="F1231" s="2199"/>
      <c r="G1231" s="2199"/>
      <c r="H1231" s="2199"/>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409.5">
      <c r="A1232" s="2405" t="str">
        <f>'Part VIII Scoring Criteria'!A81</f>
        <v xml:space="preserve">The development has fourteen (15) desirable activities within 1.5 miles from the site entrance (per Google Maps). Six (6) of these activities are within .5 miles walking distance from the proposed site entrance. There are no undersirables near the site. Little Giant Farmers Market is located 0.3 miles from the site. </v>
      </c>
      <c r="B1232" s="2405"/>
      <c r="C1232" s="2405"/>
      <c r="D1232" s="2405"/>
      <c r="E1232" s="2405"/>
      <c r="F1232" s="2405"/>
      <c r="G1232" s="2405"/>
      <c r="H1232" s="2405"/>
      <c r="I1232" s="2405"/>
      <c r="J1232" s="2405"/>
      <c r="K1232" s="2405"/>
      <c r="L1232" s="2405"/>
      <c r="M1232" s="2405"/>
      <c r="N1232" s="2405"/>
      <c r="O1232" s="2405"/>
      <c r="P1232" s="2405"/>
      <c r="Q1232" s="2198"/>
      <c r="R1232" s="2198"/>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5">
      <c r="A1233" s="2199"/>
      <c r="B1233" s="2909" t="s">
        <v>1730</v>
      </c>
      <c r="C1233" s="2199"/>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5">
      <c r="A1234" s="2405"/>
      <c r="B1234" s="2405"/>
      <c r="C1234" s="2405"/>
      <c r="D1234" s="2405"/>
      <c r="E1234" s="2405"/>
      <c r="F1234" s="2405"/>
      <c r="G1234" s="2405"/>
      <c r="H1234" s="2405"/>
      <c r="I1234" s="2405"/>
      <c r="J1234" s="2405"/>
      <c r="K1234" s="2405"/>
      <c r="L1234" s="2405"/>
      <c r="M1234" s="2405"/>
      <c r="N1234" s="2405"/>
      <c r="O1234" s="2405"/>
      <c r="P1234" s="2405"/>
      <c r="Q1234" s="2198"/>
      <c r="R1234" s="2198"/>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5">
      <c r="A1235" s="2396"/>
      <c r="B1235" s="2396"/>
      <c r="C1235" s="2396"/>
      <c r="D1235" s="2396"/>
      <c r="E1235" s="2396"/>
      <c r="F1235" s="2396"/>
      <c r="G1235" s="2396"/>
      <c r="H1235" s="2396"/>
      <c r="I1235" s="2396"/>
      <c r="J1235" s="2396"/>
      <c r="K1235" s="2396"/>
      <c r="L1235" s="2396"/>
      <c r="M1235" s="2199"/>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5">
      <c r="A1236" s="2396"/>
      <c r="B1236" s="2396"/>
      <c r="C1236" s="2396"/>
      <c r="D1236" s="2396"/>
      <c r="E1236" s="2396"/>
      <c r="F1236" s="2396"/>
      <c r="G1236" s="2396"/>
      <c r="H1236" s="2396"/>
      <c r="I1236" s="2396"/>
      <c r="J1236" s="2396"/>
      <c r="K1236" s="2396"/>
      <c r="L1236" s="2396"/>
      <c r="M1236" s="2199"/>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5">
      <c r="A1237" s="2463" t="s">
        <v>496</v>
      </c>
      <c r="B1237" s="2464" t="s">
        <v>2414</v>
      </c>
      <c r="C1237" s="2396"/>
      <c r="D1237" s="2396"/>
      <c r="E1237" s="2396"/>
      <c r="F1237" s="2396"/>
      <c r="G1237" s="2396"/>
      <c r="H1237" s="2937"/>
      <c r="I1237" s="2928"/>
      <c r="J1237" s="2499"/>
      <c r="K1237" s="2499"/>
      <c r="L1237" s="2499"/>
      <c r="M1237" s="2499">
        <v>6</v>
      </c>
      <c r="N1237" s="2467"/>
      <c r="O1237" s="2907">
        <f>'Part VIII Scoring Criteria'!O86</f>
        <v>4.5</v>
      </c>
      <c r="P1237" s="2907">
        <f>'Part VIII Scoring Criteria'!P86</f>
        <v>0</v>
      </c>
      <c r="Q1237" s="2499" t="s">
        <v>416</v>
      </c>
      <c r="R1237" s="2437"/>
      <c r="S1237" s="2938" t="s">
        <v>6263</v>
      </c>
      <c r="T1237" s="2938" t="s">
        <v>6144</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5">
      <c r="A1238" s="2463"/>
      <c r="B1238" s="2464"/>
      <c r="C1238" s="2396"/>
      <c r="D1238" s="2396"/>
      <c r="E1238" s="2396"/>
      <c r="F1238" s="2396"/>
      <c r="G1238" s="2396"/>
      <c r="H1238" s="2464"/>
      <c r="I1238" s="2909"/>
      <c r="J1238" s="2199"/>
      <c r="K1238" s="2199"/>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9" t="s">
        <v>3326</v>
      </c>
      <c r="C1239" s="2396"/>
      <c r="D1239" s="2396"/>
      <c r="E1239" s="2396"/>
      <c r="F1239" s="2199" t="s">
        <v>3215</v>
      </c>
      <c r="G1239" s="2199"/>
      <c r="H1239" s="2199"/>
      <c r="I1239" s="2199"/>
      <c r="J1239" s="2199" t="s">
        <v>3216</v>
      </c>
      <c r="K1239" s="2199"/>
      <c r="L1239" s="2199"/>
      <c r="M1239" s="2199"/>
      <c r="N1239" s="2467"/>
      <c r="O1239" s="2940" t="s">
        <v>6845</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4.25">
      <c r="A1240" s="2396"/>
      <c r="B1240" s="2941"/>
      <c r="C1240" s="2399" t="s">
        <v>6846</v>
      </c>
      <c r="D1240" s="2396"/>
      <c r="E1240" s="2396"/>
      <c r="F1240" s="2199">
        <f>'Part VIII Scoring Criteria'!F89</f>
        <v>33.550547999999999</v>
      </c>
      <c r="G1240" s="2199"/>
      <c r="H1240" s="2199"/>
      <c r="I1240" s="2199"/>
      <c r="J1240" s="2199">
        <f>'Part VIII Scoring Criteria'!J89</f>
        <v>-84.420449000000005</v>
      </c>
      <c r="K1240" s="2199"/>
      <c r="L1240" s="2199"/>
      <c r="M1240" s="2199"/>
      <c r="N1240" s="2396"/>
      <c r="O1240" s="2940"/>
      <c r="P1240" s="2940"/>
      <c r="Q1240" s="2396"/>
      <c r="R1240" s="2942" t="s">
        <v>6670</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4.25">
      <c r="A1241" s="2941"/>
      <c r="B1241" s="2405"/>
      <c r="C1241" s="2399" t="s">
        <v>6847</v>
      </c>
      <c r="D1241" s="2396"/>
      <c r="E1241" s="2396"/>
      <c r="F1241" s="2199" t="str">
        <f>'Part VIII Scoring Criteria'!F90</f>
        <v>33.551070</v>
      </c>
      <c r="G1241" s="2199"/>
      <c r="H1241" s="2199"/>
      <c r="I1241" s="2199"/>
      <c r="J1241" s="2199">
        <f>'Part VIII Scoring Criteria'!J90</f>
        <v>-84.414435999999995</v>
      </c>
      <c r="K1241" s="2199"/>
      <c r="L1241" s="2199"/>
      <c r="M1241" s="2199"/>
      <c r="N1241" s="2467"/>
      <c r="O1241" s="2943" t="str">
        <f>'Part VIII Scoring Criteria'!O90</f>
        <v>0.4</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4.25">
      <c r="A1242" s="2405"/>
      <c r="B1242" s="2396" t="s">
        <v>6885</v>
      </c>
      <c r="C1242" s="2396"/>
      <c r="D1242" s="2396"/>
      <c r="E1242" s="2396"/>
      <c r="F1242" s="2341" t="s">
        <v>6848</v>
      </c>
      <c r="G1242" s="2199" t="s">
        <v>1672</v>
      </c>
      <c r="H1242" s="2199"/>
      <c r="I1242" s="2199"/>
      <c r="J1242" s="2199" t="s">
        <v>6882</v>
      </c>
      <c r="K1242" s="2199"/>
      <c r="L1242" s="2199"/>
      <c r="M1242" s="2199"/>
      <c r="N1242" s="2199"/>
      <c r="O1242" s="2199"/>
      <c r="P1242" s="2199"/>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4.25">
      <c r="A1243" s="2405"/>
      <c r="B1243" s="2199" t="str">
        <f>'Part VIII Scoring Criteria'!B92</f>
        <v>MARTA</v>
      </c>
      <c r="C1243" s="2199"/>
      <c r="D1243" s="2199"/>
      <c r="E1243" s="2199"/>
      <c r="F1243" s="2946">
        <f>'Part VIII Scoring Criteria'!F92</f>
        <v>4048485000</v>
      </c>
      <c r="G1243" s="2199" t="str">
        <f>'Part VIII Scoring Criteria'!G92</f>
        <v>schedinfo@itsmarta.com</v>
      </c>
      <c r="H1243" s="2199"/>
      <c r="I1243" s="2199"/>
      <c r="J1243" s="2199" t="str">
        <f>'Part VIII Scoring Criteria'!J92</f>
        <v>https://www.itsmarta.com/bus-schedules.aspx</v>
      </c>
      <c r="K1243" s="2199"/>
      <c r="L1243" s="2199"/>
      <c r="M1243" s="2199"/>
      <c r="N1243" s="2199"/>
      <c r="O1243" s="2199"/>
      <c r="P1243" s="2199"/>
      <c r="Q1243" s="2396"/>
      <c r="R1243" s="2942" t="s">
        <v>6671</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5">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5">
      <c r="A1245" s="2947" t="s">
        <v>1841</v>
      </c>
      <c r="B1245" s="2198" t="s">
        <v>3237</v>
      </c>
      <c r="C1245" s="2396"/>
      <c r="D1245" s="2396"/>
      <c r="E1245" s="2396"/>
      <c r="F1245" s="2464"/>
      <c r="G1245" s="2396"/>
      <c r="H1245" s="2396"/>
      <c r="I1245" s="2396"/>
      <c r="J1245" s="2396"/>
      <c r="K1245" s="2396"/>
      <c r="L1245" s="2396"/>
      <c r="M1245" s="2499">
        <v>6</v>
      </c>
      <c r="N1245" s="2919"/>
      <c r="O1245" s="2948">
        <f>'Part VIII Scoring Criteria'!O94</f>
        <v>4.5</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1844</v>
      </c>
      <c r="C1246" s="2405" t="s">
        <v>7015</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5">
      <c r="A1247" s="2499" t="s">
        <v>1275</v>
      </c>
      <c r="B1247" s="2949" t="s">
        <v>1846</v>
      </c>
      <c r="C1247" s="2199" t="s">
        <v>7016</v>
      </c>
      <c r="D1247" s="2199"/>
      <c r="E1247" s="2199"/>
      <c r="F1247" s="2199"/>
      <c r="G1247" s="2199"/>
      <c r="H1247" s="2199"/>
      <c r="I1247" s="2199"/>
      <c r="J1247" s="2437"/>
      <c r="K1247" s="2437"/>
      <c r="L1247" s="2437"/>
      <c r="M1247" s="2311">
        <v>5</v>
      </c>
      <c r="N1247" s="2910"/>
      <c r="O1247" s="2907">
        <f>'Part VIII Scoring Criteria'!O96</f>
        <v>4.5</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5">
      <c r="A1248" s="2947" t="s">
        <v>1843</v>
      </c>
      <c r="B1248" s="2952" t="s">
        <v>3238</v>
      </c>
      <c r="C1248" s="2402"/>
      <c r="D1248" s="2402"/>
      <c r="E1248" s="2402"/>
      <c r="F1248" s="2953"/>
      <c r="G1248" s="2402"/>
      <c r="H1248" s="2437"/>
      <c r="I1248" s="2437"/>
      <c r="J1248" s="2405"/>
      <c r="K1248" s="2405"/>
      <c r="L1248" s="2954"/>
      <c r="M1248" s="2499">
        <v>3</v>
      </c>
      <c r="N1248" s="2467"/>
      <c r="O1248" s="2906">
        <f>'Part VIII Scoring Criteria'!O97</f>
        <v>0</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5">
      <c r="A1249" s="2463"/>
      <c r="B1249" s="2955" t="s">
        <v>1844</v>
      </c>
      <c r="C1249" s="2199" t="s">
        <v>7017</v>
      </c>
      <c r="D1249" s="2437"/>
      <c r="E1249" s="2437"/>
      <c r="F1249" s="2437"/>
      <c r="G1249" s="2437"/>
      <c r="H1249" s="2437"/>
      <c r="I1249" s="2437"/>
      <c r="J1249" s="2437"/>
      <c r="K1249" s="2437"/>
      <c r="L1249" s="2437"/>
      <c r="M1249" s="2311">
        <v>3</v>
      </c>
      <c r="N1249" s="2910"/>
      <c r="O1249" s="2395">
        <f>'Part VIII Scoring Criteria'!O98</f>
        <v>0</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5">
      <c r="A1250" s="2499" t="s">
        <v>1275</v>
      </c>
      <c r="B1250" s="2955" t="s">
        <v>1846</v>
      </c>
      <c r="C1250" s="2199" t="s">
        <v>7018</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1275</v>
      </c>
      <c r="B1251" s="2955" t="s">
        <v>2332</v>
      </c>
      <c r="C1251" s="2405" t="s">
        <v>7019</v>
      </c>
      <c r="D1251" s="2405"/>
      <c r="E1251" s="2405"/>
      <c r="F1251" s="2405"/>
      <c r="G1251" s="2405"/>
      <c r="H1251" s="2405"/>
      <c r="I1251" s="2405"/>
      <c r="J1251" s="2405"/>
      <c r="K1251" s="2405"/>
      <c r="L1251" s="2405"/>
      <c r="M1251" s="2401">
        <v>2</v>
      </c>
      <c r="N1251" s="2950"/>
      <c r="O1251" s="2395">
        <f>'Part VIII Scoring Criteria'!O100</f>
        <v>0</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5">
      <c r="A1252" s="2199"/>
      <c r="B1252" s="2464" t="s">
        <v>3240</v>
      </c>
      <c r="C1252" s="2199"/>
      <c r="D1252" s="2199"/>
      <c r="E1252" s="2199"/>
      <c r="F1252" s="2199"/>
      <c r="G1252" s="2199"/>
      <c r="H1252" s="2199"/>
      <c r="I1252" s="2396"/>
      <c r="J1252" s="2396"/>
      <c r="K1252" s="2199"/>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409.5">
      <c r="A1253" s="2405" t="str">
        <f>'Part VIII Scoring Criteria'!A102</f>
        <v>The development is located within a 0.4 mile walking distance to an established transit HUB that has 3 routes and runs Monday-Friday. The stop is labeled as stop #212419 per MARTAs interactive map and contains bus routes #89, #191, and #198. This service is provided to the general public, and is therefore available to all residents. The MARTA link above takes the user to the route search page allowing them to locate the stops along each route and see service times. Fares are a separate link for all MARTA services, and a PDF of this page is provided in 2702HelxWebPgCosts along with route maps for each route in the transit HUB and a Map from site to the transit HUB.</v>
      </c>
      <c r="B1253" s="2405"/>
      <c r="C1253" s="2405"/>
      <c r="D1253" s="2405"/>
      <c r="E1253" s="2405"/>
      <c r="F1253" s="2405"/>
      <c r="G1253" s="2405"/>
      <c r="H1253" s="2405"/>
      <c r="I1253" s="2405"/>
      <c r="J1253" s="2405"/>
      <c r="K1253" s="2405"/>
      <c r="L1253" s="2405"/>
      <c r="M1253" s="2405"/>
      <c r="N1253" s="2405"/>
      <c r="O1253" s="2405"/>
      <c r="P1253" s="2405"/>
      <c r="Q1253" s="2198"/>
      <c r="R1253" s="2198"/>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5">
      <c r="A1254" s="2199"/>
      <c r="B1254" s="2909" t="s">
        <v>1730</v>
      </c>
      <c r="C1254" s="2199"/>
      <c r="D1254" s="2909"/>
      <c r="E1254" s="2957"/>
      <c r="F1254" s="2957"/>
      <c r="G1254" s="2957"/>
      <c r="H1254" s="2957"/>
      <c r="I1254" s="2957"/>
      <c r="J1254" s="2957"/>
      <c r="K1254" s="2957"/>
      <c r="L1254" s="2957"/>
      <c r="M1254" s="2957"/>
      <c r="N1254" s="2958"/>
      <c r="O1254" s="2903"/>
      <c r="P1254" s="2499"/>
      <c r="Q1254" s="2396"/>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5"/>
      <c r="B1255" s="2405"/>
      <c r="C1255" s="2405"/>
      <c r="D1255" s="2405"/>
      <c r="E1255" s="2405"/>
      <c r="F1255" s="2405"/>
      <c r="G1255" s="2405"/>
      <c r="H1255" s="2405"/>
      <c r="I1255" s="2405"/>
      <c r="J1255" s="2405"/>
      <c r="K1255" s="2405"/>
      <c r="L1255" s="2405"/>
      <c r="M1255" s="2405"/>
      <c r="N1255" s="2405"/>
      <c r="O1255" s="2405"/>
      <c r="P1255" s="2405"/>
      <c r="Q1255" s="2198"/>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5">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5">
      <c r="A1257" s="2463" t="s">
        <v>720</v>
      </c>
      <c r="B1257" s="2464" t="s">
        <v>6148</v>
      </c>
      <c r="C1257" s="2912"/>
      <c r="D1257" s="2912"/>
      <c r="E1257" s="2912"/>
      <c r="F1257" s="2396"/>
      <c r="G1257" s="2499"/>
      <c r="H1257" s="2928"/>
      <c r="I1257" s="2396"/>
      <c r="J1257" s="2396"/>
      <c r="K1257" s="2396"/>
      <c r="L1257" s="2396"/>
      <c r="M1257" s="2499">
        <v>3</v>
      </c>
      <c r="N1257" s="2936"/>
      <c r="O1257" s="2395">
        <f>'Part VIII Scoring Criteria'!O106</f>
        <v>3</v>
      </c>
      <c r="P1257" s="2395">
        <f>'Part VIII Scoring Criteria'!P106</f>
        <v>0</v>
      </c>
      <c r="Q1257" s="2933" t="str">
        <f>IF(OR($O1257&lt;=$M1257,$O1257=0,$O1257=""),"","*CHECK!*")</f>
        <v/>
      </c>
      <c r="R1257" s="2928" t="s">
        <v>416</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7020</v>
      </c>
      <c r="G1258" s="2961"/>
      <c r="H1258" s="2961" t="s">
        <v>7021</v>
      </c>
      <c r="I1258" s="2961"/>
      <c r="J1258" s="2961" t="s">
        <v>6887</v>
      </c>
      <c r="K1258" s="2962"/>
      <c r="L1258" s="2961" t="s">
        <v>6888</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5">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5">
      <c r="A1260" s="2396"/>
      <c r="B1260" s="2963" t="s">
        <v>6629</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71.25">
      <c r="A1261" s="2396"/>
      <c r="B1261" s="2437" t="str">
        <f>'Part VIII Scoring Criteria'!B110</f>
        <v>Lake Ridge Elementary School</v>
      </c>
      <c r="C1261" s="2437"/>
      <c r="D1261" s="2437"/>
      <c r="E1261" s="2437"/>
      <c r="F1261" s="2437" t="str">
        <f>'Part VIII Scoring Criteria'!F110</f>
        <v>No</v>
      </c>
      <c r="G1261" s="2437"/>
      <c r="H1261" s="2437" t="str">
        <f>'Part VIII Scoring Criteria'!H110</f>
        <v>Yes</v>
      </c>
      <c r="I1261" s="2437"/>
      <c r="J1261" s="2437" t="str">
        <f>'Part VIII Scoring Criteria'!J110</f>
        <v>No</v>
      </c>
      <c r="K1261" s="2437"/>
      <c r="L1261" s="2199" t="str">
        <f>'Part VIII Scoring Criteria'!L110</f>
        <v>No</v>
      </c>
      <c r="M1261" s="2199"/>
      <c r="N1261" s="2199"/>
      <c r="O1261" s="2199"/>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42.75">
      <c r="A1262" s="2396"/>
      <c r="B1262" s="2437" t="str">
        <f>'Part VIII Scoring Criteria'!B111</f>
        <v>Kendrick Middle School</v>
      </c>
      <c r="C1262" s="2437"/>
      <c r="D1262" s="2437"/>
      <c r="E1262" s="2437"/>
      <c r="F1262" s="2437" t="str">
        <f>'Part VIII Scoring Criteria'!F111</f>
        <v>No</v>
      </c>
      <c r="G1262" s="2437"/>
      <c r="H1262" s="2437" t="str">
        <f>'Part VIII Scoring Criteria'!H111</f>
        <v>Yes</v>
      </c>
      <c r="I1262" s="2437"/>
      <c r="J1262" s="2437" t="str">
        <f>'Part VIII Scoring Criteria'!J111</f>
        <v>No</v>
      </c>
      <c r="K1262" s="2437"/>
      <c r="L1262" s="2199" t="str">
        <f>'Part VIII Scoring Criteria'!L111</f>
        <v>No</v>
      </c>
      <c r="M1262" s="2199"/>
      <c r="N1262" s="2199"/>
      <c r="O1262" s="2199"/>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42.75">
      <c r="A1263" s="2396"/>
      <c r="B1263" s="2437" t="str">
        <f>'Part VIII Scoring Criteria'!B112</f>
        <v>Riverdale High School</v>
      </c>
      <c r="C1263" s="2437"/>
      <c r="D1263" s="2437"/>
      <c r="E1263" s="2437"/>
      <c r="F1263" s="2437" t="str">
        <f>'Part VIII Scoring Criteria'!F112</f>
        <v>No</v>
      </c>
      <c r="G1263" s="2437"/>
      <c r="H1263" s="2437" t="str">
        <f>'Part VIII Scoring Criteria'!H112</f>
        <v>Yes</v>
      </c>
      <c r="I1263" s="2437"/>
      <c r="J1263" s="2437" t="str">
        <f>'Part VIII Scoring Criteria'!J112</f>
        <v>No</v>
      </c>
      <c r="K1263" s="2437"/>
      <c r="L1263" s="2199" t="str">
        <f>'Part VIII Scoring Criteria'!L112</f>
        <v>No</v>
      </c>
      <c r="M1263" s="2199"/>
      <c r="N1263" s="2199"/>
      <c r="O1263" s="2199"/>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15">
      <c r="A1264" s="2396"/>
      <c r="B1264" s="2437">
        <f>'Part VIII Scoring Criteria'!B113</f>
        <v>0</v>
      </c>
      <c r="C1264" s="2437"/>
      <c r="D1264" s="2437"/>
      <c r="E1264" s="2437"/>
      <c r="F1264" s="2437">
        <f>'Part VIII Scoring Criteria'!F113</f>
        <v>0</v>
      </c>
      <c r="G1264" s="2437"/>
      <c r="H1264" s="2437">
        <f>'Part VIII Scoring Criteria'!H113</f>
        <v>0</v>
      </c>
      <c r="I1264" s="2437"/>
      <c r="J1264" s="2437">
        <f>'Part VIII Scoring Criteria'!J113</f>
        <v>0</v>
      </c>
      <c r="K1264" s="2437"/>
      <c r="L1264" s="2199">
        <f>'Part VIII Scoring Criteria'!L113</f>
        <v>0</v>
      </c>
      <c r="M1264" s="2199"/>
      <c r="N1264" s="2199"/>
      <c r="O1264" s="2199"/>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5">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9">
        <f>'Part VIII Scoring Criteria'!L114</f>
        <v>0</v>
      </c>
      <c r="M1265" s="2199"/>
      <c r="N1265" s="2199"/>
      <c r="O1265" s="2199"/>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5">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9">
        <f>'Part VIII Scoring Criteria'!L115</f>
        <v>0</v>
      </c>
      <c r="M1266" s="2199"/>
      <c r="N1266" s="2199"/>
      <c r="O1266" s="2199"/>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5">
      <c r="A1267" s="2199"/>
      <c r="B1267" s="2464" t="s">
        <v>3240</v>
      </c>
      <c r="C1267" s="2199"/>
      <c r="D1267" s="2199"/>
      <c r="E1267" s="2199"/>
      <c r="F1267" s="2199"/>
      <c r="G1267" s="2199"/>
      <c r="H1267" s="2199"/>
      <c r="I1267" s="2199"/>
      <c r="J1267" s="2199"/>
      <c r="K1267" s="2199"/>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299.25">
      <c r="A1268" s="2405" t="str">
        <f>'Part VIII Scoring Criteria'!A117</f>
        <v>Project is achieving 3 points under VII. Quality Education Areas, Section B by having all grades K-12 achieving BTO designations in 2018.</v>
      </c>
      <c r="B1268" s="2405"/>
      <c r="C1268" s="2405"/>
      <c r="D1268" s="2405"/>
      <c r="E1268" s="2405"/>
      <c r="F1268" s="2405"/>
      <c r="G1268" s="2405"/>
      <c r="H1268" s="2405"/>
      <c r="I1268" s="2405"/>
      <c r="J1268" s="2405"/>
      <c r="K1268" s="2405"/>
      <c r="L1268" s="2405"/>
      <c r="M1268" s="2405"/>
      <c r="N1268" s="2405"/>
      <c r="O1268" s="2405"/>
      <c r="P1268" s="2405"/>
      <c r="Q1268" s="2198"/>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5">
      <c r="A1269" s="2199"/>
      <c r="B1269" s="2935" t="s">
        <v>1730</v>
      </c>
      <c r="C1269" s="2199"/>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5">
      <c r="A1270" s="2405"/>
      <c r="B1270" s="2405"/>
      <c r="C1270" s="2405"/>
      <c r="D1270" s="2405"/>
      <c r="E1270" s="2405"/>
      <c r="F1270" s="2405"/>
      <c r="G1270" s="2405"/>
      <c r="H1270" s="2405"/>
      <c r="I1270" s="2405"/>
      <c r="J1270" s="2405"/>
      <c r="K1270" s="2405"/>
      <c r="L1270" s="2405"/>
      <c r="M1270" s="2405"/>
      <c r="N1270" s="2405"/>
      <c r="O1270" s="2405"/>
      <c r="P1270" s="2405"/>
      <c r="Q1270" s="2198"/>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5">
      <c r="A1271" s="2199"/>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5">
      <c r="A1272" s="2199"/>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5">
      <c r="A1273" s="2463" t="s">
        <v>280</v>
      </c>
      <c r="B1273" s="2464" t="s">
        <v>3339</v>
      </c>
      <c r="C1273" s="2199"/>
      <c r="D1273" s="2464"/>
      <c r="E1273" s="2464"/>
      <c r="F1273" s="2199"/>
      <c r="G1273" s="2199"/>
      <c r="H1273" s="2199"/>
      <c r="I1273" s="2199"/>
      <c r="J1273" s="2199"/>
      <c r="K1273" s="2199"/>
      <c r="L1273" s="2539" t="str">
        <f>IF(AND(O1273&gt;0,O1274="",O1286=""),"Indicate subtotal score(s) in A or B below!","")</f>
        <v/>
      </c>
      <c r="M1273" s="2499">
        <v>7</v>
      </c>
      <c r="N1273" s="2311"/>
      <c r="O1273" s="2907">
        <f>'Part VIII Scoring Criteria'!O122</f>
        <v>0</v>
      </c>
      <c r="P1273" s="2907">
        <f>'Part VIII Scoring Criteria'!P122</f>
        <v>0</v>
      </c>
      <c r="Q1273" s="2499" t="s">
        <v>416</v>
      </c>
      <c r="R1273" s="2928" t="str">
        <f>IF(AND(O1273&gt;0,NOT($F$31="New Supply")), "Ineligible to score in this section, not New Supply!","")</f>
        <v/>
      </c>
      <c r="S1273" s="2462"/>
      <c r="T1273" s="2462"/>
      <c r="U1273" s="2462"/>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39" t="s">
        <v>1841</v>
      </c>
      <c r="B1274" s="2198" t="s">
        <v>6176</v>
      </c>
      <c r="C1274" s="2198"/>
      <c r="D1274" s="2198"/>
      <c r="E1274" s="2198"/>
      <c r="F1274" s="2198"/>
      <c r="G1274" s="2198"/>
      <c r="H1274" s="2198"/>
      <c r="I1274" s="2198"/>
      <c r="J1274" s="2198"/>
      <c r="K1274" s="2198"/>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0</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5">
      <c r="A1275" s="2499"/>
      <c r="B1275" s="2396"/>
      <c r="C1275" s="2199" t="s">
        <v>7022</v>
      </c>
      <c r="D1275" s="2198"/>
      <c r="E1275" s="2198"/>
      <c r="F1275" s="2198"/>
      <c r="G1275" s="2198"/>
      <c r="H1275" s="2198"/>
      <c r="I1275" s="2198"/>
      <c r="J1275" s="2198"/>
      <c r="K1275" s="2198"/>
      <c r="L1275" s="2198"/>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6886</v>
      </c>
      <c r="D1276" s="2402"/>
      <c r="E1276" s="2402"/>
      <c r="F1276" s="2402"/>
      <c r="G1276" s="2402"/>
      <c r="H1276" s="2402"/>
      <c r="I1276" s="2402"/>
      <c r="J1276" s="2402"/>
      <c r="K1276" s="2402"/>
      <c r="L1276" s="2934"/>
      <c r="M1276" s="2437" t="str">
        <f>'Part VIII Scoring Criteria'!M125</f>
        <v>&lt;Page # from Plan&gt;</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9"/>
      <c r="B1277" s="2467"/>
      <c r="C1277" s="2199" t="s">
        <v>6852</v>
      </c>
      <c r="D1277" s="2199"/>
      <c r="E1277" s="2199"/>
      <c r="F1277" s="2199"/>
      <c r="G1277" s="2199"/>
      <c r="H1277" s="2199"/>
      <c r="I1277" s="2199"/>
      <c r="J1277" s="2199"/>
      <c r="K1277" s="2199"/>
      <c r="L1277" s="2467"/>
      <c r="M1277" s="2437" t="str">
        <f>'Part VIII Scoring Criteria'!M126</f>
        <v>&lt;Page # from Plan&gt;</v>
      </c>
      <c r="N1277" s="2437"/>
      <c r="O1277" s="2437"/>
      <c r="P1277" s="2437"/>
      <c r="Q1277" s="2199"/>
      <c r="R1277" s="2199"/>
      <c r="S1277" s="2462"/>
      <c r="T1277" s="2462"/>
      <c r="U1277" s="2462"/>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7"/>
      <c r="C1278" s="2199" t="s">
        <v>6853</v>
      </c>
      <c r="D1278" s="2199"/>
      <c r="E1278" s="2199"/>
      <c r="F1278" s="2199"/>
      <c r="G1278" s="2199"/>
      <c r="H1278" s="2199"/>
      <c r="I1278" s="2199"/>
      <c r="J1278" s="2199"/>
      <c r="K1278" s="2199"/>
      <c r="L1278" s="2467"/>
      <c r="M1278" s="2437" t="str">
        <f>'Part VIII Scoring Criteria'!M127</f>
        <v>&lt;Page # from Plan&gt;</v>
      </c>
      <c r="N1278" s="2437"/>
      <c r="O1278" s="2437"/>
      <c r="P1278" s="2437"/>
      <c r="Q1278" s="2311">
        <f>IF(K1278="Yes",1,0)</f>
        <v>0</v>
      </c>
      <c r="R1278" s="2199"/>
      <c r="S1278" s="2462"/>
      <c r="T1278" s="2462"/>
      <c r="U1278" s="2462"/>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7"/>
      <c r="B1279" s="2467"/>
      <c r="C1279" s="2199" t="s">
        <v>6854</v>
      </c>
      <c r="D1279" s="2199"/>
      <c r="E1279" s="2199"/>
      <c r="F1279" s="2199"/>
      <c r="G1279" s="2199"/>
      <c r="H1279" s="2199"/>
      <c r="I1279" s="2199"/>
      <c r="J1279" s="2199"/>
      <c r="K1279" s="2199"/>
      <c r="L1279" s="2467"/>
      <c r="M1279" s="2437" t="str">
        <f>'Part VIII Scoring Criteria'!M128</f>
        <v>&lt;Page # from Plan&gt;</v>
      </c>
      <c r="N1279" s="2437"/>
      <c r="O1279" s="2437"/>
      <c r="P1279" s="2437"/>
      <c r="Q1279" s="2311">
        <f>IF(K1279="Yes",1,0)</f>
        <v>0</v>
      </c>
      <c r="R1279" s="2199"/>
      <c r="S1279" s="2462"/>
      <c r="T1279" s="2462"/>
      <c r="U1279" s="2462"/>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7"/>
      <c r="B1280" s="2467"/>
      <c r="C1280" s="2199" t="s">
        <v>6891</v>
      </c>
      <c r="D1280" s="2199"/>
      <c r="E1280" s="2199"/>
      <c r="F1280" s="2199"/>
      <c r="G1280" s="2199"/>
      <c r="H1280" s="2199"/>
      <c r="I1280" s="2199"/>
      <c r="J1280" s="2199"/>
      <c r="K1280" s="2199"/>
      <c r="L1280" s="2467"/>
      <c r="M1280" s="2437" t="str">
        <f>'Part VIII Scoring Criteria'!M129</f>
        <v>&lt;Page # from Plan&gt;</v>
      </c>
      <c r="N1280" s="2437"/>
      <c r="O1280" s="2437"/>
      <c r="P1280" s="2437"/>
      <c r="Q1280" s="2311"/>
      <c r="R1280" s="2199"/>
      <c r="S1280" s="2462"/>
      <c r="T1280" s="2462"/>
      <c r="U1280" s="2462"/>
      <c r="V1280" s="2311"/>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8"/>
      <c r="B1281" s="2965" t="s">
        <v>1844</v>
      </c>
      <c r="C1281" s="2928" t="s">
        <v>6890</v>
      </c>
      <c r="D1281" s="2402"/>
      <c r="E1281" s="2402"/>
      <c r="F1281" s="2402"/>
      <c r="G1281" s="2402"/>
      <c r="H1281" s="2402"/>
      <c r="I1281" s="2402"/>
      <c r="J1281" s="2396"/>
      <c r="K1281" s="2311"/>
      <c r="L1281" s="2311"/>
      <c r="M1281" s="2311">
        <v>2</v>
      </c>
      <c r="N1281" s="2934"/>
      <c r="O1281" s="2395">
        <f>'Part VIII Scoring Criteria'!O130</f>
        <v>0</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5">
      <c r="A1282" s="2398"/>
      <c r="B1282" s="2966" t="s">
        <v>1846</v>
      </c>
      <c r="C1282" s="2928" t="s">
        <v>6251</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7023</v>
      </c>
      <c r="D1283" s="2405"/>
      <c r="E1283" s="2405"/>
      <c r="F1283" s="2405"/>
      <c r="G1283" s="2405"/>
      <c r="H1283" s="2405"/>
      <c r="I1283" s="2405"/>
      <c r="J1283" s="2405"/>
      <c r="K1283" s="2405"/>
      <c r="L1283" s="2405"/>
      <c r="M1283" s="2401">
        <v>1</v>
      </c>
      <c r="N1283" s="2934"/>
      <c r="O1283" s="2395">
        <f>'Part VIII Scoring Criteria'!O132</f>
        <v>0</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7024</v>
      </c>
      <c r="D1284" s="2405"/>
      <c r="E1284" s="2405"/>
      <c r="F1284" s="2405"/>
      <c r="G1284" s="2405"/>
      <c r="H1284" s="2405"/>
      <c r="I1284" s="2405"/>
      <c r="J1284" s="2405"/>
      <c r="K1284" s="2405"/>
      <c r="L1284" s="2405"/>
      <c r="M1284" s="2401">
        <v>1</v>
      </c>
      <c r="N1284" s="2934"/>
      <c r="O1284" s="2395">
        <f>'Part VIII Scoring Criteria'!O133</f>
        <v>0</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5">
      <c r="A1285" s="2539"/>
      <c r="B1285" s="2925"/>
      <c r="C1285" s="2396" t="s">
        <v>7025</v>
      </c>
      <c r="D1285" s="2952"/>
      <c r="E1285" s="2952"/>
      <c r="F1285" s="2952"/>
      <c r="G1285" s="2952"/>
      <c r="H1285" s="2952"/>
      <c r="I1285" s="2952"/>
      <c r="J1285" s="2952"/>
      <c r="K1285" s="2952"/>
      <c r="L1285" s="2952"/>
      <c r="M1285" s="2311">
        <v>1</v>
      </c>
      <c r="N1285" s="2467"/>
      <c r="O1285" s="2395">
        <f>'Part VIII Scoring Criteria'!O134</f>
        <v>0</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5">
      <c r="A1286" s="2539" t="s">
        <v>1843</v>
      </c>
      <c r="B1286" s="2198" t="s">
        <v>3821</v>
      </c>
      <c r="C1286" s="2396"/>
      <c r="D1286" s="2199"/>
      <c r="E1286" s="2396"/>
      <c r="F1286" s="2967"/>
      <c r="G1286" s="2396"/>
      <c r="H1286" s="2396"/>
      <c r="I1286" s="2396"/>
      <c r="J1286" s="2396"/>
      <c r="K1286" s="2539"/>
      <c r="L1286" s="2927" t="str">
        <f>IF(OR($O1286=$M1286,$O1286=0,$O1286=1,$O1286=""),"","* * Check Score! * *")</f>
        <v/>
      </c>
      <c r="M1286" s="2311">
        <v>2</v>
      </c>
      <c r="N1286" s="2467"/>
      <c r="O1286" s="2907">
        <f>'Part VIII Scoring Criteria'!O135</f>
        <v>0</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5">
      <c r="A1287" s="2199"/>
      <c r="B1287" s="2464" t="s">
        <v>3240</v>
      </c>
      <c r="C1287" s="2199"/>
      <c r="D1287" s="2199"/>
      <c r="E1287" s="2199"/>
      <c r="F1287" s="2199"/>
      <c r="G1287" s="2199"/>
      <c r="H1287" s="2199"/>
      <c r="I1287" s="2199"/>
      <c r="J1287" s="2199"/>
      <c r="K1287" s="2199"/>
      <c r="L1287" s="2199"/>
      <c r="M1287" s="2311"/>
      <c r="N1287" s="2311"/>
      <c r="O1287" s="2395"/>
      <c r="P1287" s="2499"/>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2.75">
      <c r="A1288" s="2405" t="str">
        <f>'Part VIII Scoring Criteria'!A137</f>
        <v>This section is NA</v>
      </c>
      <c r="B1288" s="2405"/>
      <c r="C1288" s="2405"/>
      <c r="D1288" s="2405"/>
      <c r="E1288" s="2405"/>
      <c r="F1288" s="2405"/>
      <c r="G1288" s="2405"/>
      <c r="H1288" s="2405"/>
      <c r="I1288" s="2405"/>
      <c r="J1288" s="2405"/>
      <c r="K1288" s="2405"/>
      <c r="L1288" s="2405"/>
      <c r="M1288" s="2405"/>
      <c r="N1288" s="2405"/>
      <c r="O1288" s="2405"/>
      <c r="P1288" s="2405"/>
      <c r="Q1288" s="2198"/>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5">
      <c r="A1289" s="2199"/>
      <c r="B1289" s="2909" t="s">
        <v>1730</v>
      </c>
      <c r="C1289" s="2199"/>
      <c r="D1289" s="2909"/>
      <c r="E1289" s="2957"/>
      <c r="F1289" s="2957"/>
      <c r="G1289" s="2957"/>
      <c r="H1289" s="2957"/>
      <c r="I1289" s="2957"/>
      <c r="J1289" s="2957"/>
      <c r="K1289" s="2957"/>
      <c r="L1289" s="2957"/>
      <c r="M1289" s="2957"/>
      <c r="N1289" s="2958"/>
      <c r="O1289" s="2903"/>
      <c r="P1289" s="2499"/>
      <c r="Q1289" s="2396"/>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5"/>
      <c r="B1290" s="2405"/>
      <c r="C1290" s="2405"/>
      <c r="D1290" s="2405"/>
      <c r="E1290" s="2405"/>
      <c r="F1290" s="2405"/>
      <c r="G1290" s="2405"/>
      <c r="H1290" s="2405"/>
      <c r="I1290" s="2405"/>
      <c r="J1290" s="2405"/>
      <c r="K1290" s="2405"/>
      <c r="L1290" s="2405"/>
      <c r="M1290" s="2405"/>
      <c r="N1290" s="2405"/>
      <c r="O1290" s="2405"/>
      <c r="P1290" s="2405"/>
      <c r="Q1290" s="2198"/>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5">
      <c r="A1291" s="2199"/>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5">
      <c r="A1292" s="2199"/>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5">
      <c r="A1293" s="2463" t="s">
        <v>401</v>
      </c>
      <c r="B1293" s="2464" t="s">
        <v>3340</v>
      </c>
      <c r="C1293" s="2912"/>
      <c r="D1293" s="2912"/>
      <c r="E1293" s="2912"/>
      <c r="F1293" s="2912"/>
      <c r="G1293" s="2912"/>
      <c r="H1293" s="2912"/>
      <c r="I1293" s="2912"/>
      <c r="J1293" s="2912"/>
      <c r="K1293" s="2912"/>
      <c r="L1293" s="2912"/>
      <c r="M1293" s="2499">
        <v>3</v>
      </c>
      <c r="N1293" s="2936"/>
      <c r="O1293" s="2914"/>
      <c r="P1293" s="2395"/>
      <c r="Q1293" s="2499" t="s">
        <v>416</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5">
      <c r="A1294" s="2463"/>
      <c r="B1294" s="2909" t="s">
        <v>6252</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5">
      <c r="A1295" s="2463"/>
      <c r="B1295" s="2199" t="s">
        <v>3673</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f>'Part VIII Scoring Criteria'!O144</f>
        <v>0</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6898</v>
      </c>
      <c r="C1296" s="2437"/>
      <c r="D1296" s="2437"/>
      <c r="E1296" s="2437"/>
      <c r="F1296" s="2437"/>
      <c r="G1296" s="2437"/>
      <c r="H1296" s="2437"/>
      <c r="I1296" s="2437"/>
      <c r="J1296" s="2437"/>
      <c r="K1296" s="2437"/>
      <c r="L1296" s="2437"/>
      <c r="M1296" s="2437"/>
      <c r="N1296" s="2499"/>
      <c r="O1296" s="2499">
        <f>'Part VIII Scoring Criteria'!O145</f>
        <v>0</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5">
      <c r="A1297" s="2199"/>
      <c r="B1297" s="2464" t="s">
        <v>3240</v>
      </c>
      <c r="C1297" s="2199"/>
      <c r="D1297" s="2199"/>
      <c r="E1297" s="2199"/>
      <c r="F1297" s="2199"/>
      <c r="G1297" s="2199"/>
      <c r="H1297" s="2199"/>
      <c r="I1297" s="2199"/>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42.75">
      <c r="A1298" s="2405" t="str">
        <f>'Part VIII Scoring Criteria'!A147</f>
        <v>This Section is NA</v>
      </c>
      <c r="B1298" s="2405"/>
      <c r="C1298" s="2405"/>
      <c r="D1298" s="2405"/>
      <c r="E1298" s="2405"/>
      <c r="F1298" s="2405"/>
      <c r="G1298" s="2405"/>
      <c r="H1298" s="2405"/>
      <c r="I1298" s="2405"/>
      <c r="J1298" s="2405"/>
      <c r="K1298" s="2405"/>
      <c r="L1298" s="2405"/>
      <c r="M1298" s="2405"/>
      <c r="N1298" s="2405"/>
      <c r="O1298" s="2405"/>
      <c r="P1298" s="2405"/>
      <c r="Q1298" s="2198"/>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5">
      <c r="A1299" s="2199"/>
      <c r="B1299" s="2935" t="s">
        <v>1730</v>
      </c>
      <c r="C1299" s="2199"/>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5">
      <c r="A1300" s="2405"/>
      <c r="B1300" s="2405"/>
      <c r="C1300" s="2405"/>
      <c r="D1300" s="2405"/>
      <c r="E1300" s="2405"/>
      <c r="F1300" s="2405"/>
      <c r="G1300" s="2405"/>
      <c r="H1300" s="2405"/>
      <c r="I1300" s="2405"/>
      <c r="J1300" s="2405"/>
      <c r="K1300" s="2405"/>
      <c r="L1300" s="2405"/>
      <c r="M1300" s="2405"/>
      <c r="N1300" s="2405"/>
      <c r="O1300" s="2405"/>
      <c r="P1300" s="2405"/>
      <c r="Q1300" s="2198"/>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5">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5">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5">
      <c r="A1303" s="2463" t="s">
        <v>342</v>
      </c>
      <c r="B1303" s="2464" t="s">
        <v>2497</v>
      </c>
      <c r="C1303" s="2199"/>
      <c r="D1303" s="2464"/>
      <c r="E1303" s="2464"/>
      <c r="F1303" s="2199"/>
      <c r="G1303" s="2199"/>
      <c r="H1303" s="2199"/>
      <c r="I1303" s="2199"/>
      <c r="J1303" s="2199"/>
      <c r="K1303" s="2199"/>
      <c r="L1303" s="2539" t="str">
        <f>IF(AND(O1303&gt;0,NOT($F$31="New Supply")), "Ineligible to score in this section, not New Supply!","")</f>
        <v>Ineligible to score in this section, not New Supply!</v>
      </c>
      <c r="M1303" s="2499">
        <v>10</v>
      </c>
      <c r="N1303" s="2311"/>
      <c r="O1303" s="2395">
        <f>'Part VIII Scoring Criteria'!O152</f>
        <v>7</v>
      </c>
      <c r="P1303" s="2395">
        <f>'Part VIII Scoring Criteria'!P152</f>
        <v>0</v>
      </c>
      <c r="Q1303" s="2499" t="s">
        <v>416</v>
      </c>
      <c r="R1303" s="2928"/>
      <c r="S1303" s="2462"/>
      <c r="T1303" s="2462"/>
      <c r="U1303" s="2462"/>
      <c r="V1303" s="2396"/>
      <c r="W1303" s="2396"/>
      <c r="X1303" s="2396"/>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0" t="s">
        <v>1841</v>
      </c>
      <c r="B1304" s="2198" t="s">
        <v>3822</v>
      </c>
      <c r="C1304" s="2199"/>
      <c r="D1304" s="2464"/>
      <c r="E1304" s="2464"/>
      <c r="F1304" s="2199"/>
      <c r="G1304" s="2199"/>
      <c r="H1304" s="2199"/>
      <c r="I1304" s="2199"/>
      <c r="J1304" s="2199"/>
      <c r="K1304" s="2971"/>
      <c r="L1304" s="2199"/>
      <c r="M1304" s="2311">
        <v>5</v>
      </c>
      <c r="N1304" s="2467"/>
      <c r="O1304" s="2395">
        <f>'Part VIII Scoring Criteria'!O153</f>
        <v>4</v>
      </c>
      <c r="P1304" s="2395"/>
      <c r="Q1304" s="2933" t="str">
        <f>IF(O1304&lt;=M1304,"","*CHECK!*")</f>
        <v/>
      </c>
      <c r="R1304" s="2928"/>
      <c r="S1304" s="2462"/>
      <c r="T1304" s="2462"/>
      <c r="U1304" s="2462"/>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6"/>
      <c r="B1305" s="2970"/>
      <c r="C1305" s="2199" t="s">
        <v>6254</v>
      </c>
      <c r="D1305" s="2199"/>
      <c r="E1305" s="2464"/>
      <c r="F1305" s="2464"/>
      <c r="G1305" s="2199"/>
      <c r="H1305" s="2199"/>
      <c r="I1305" s="2199"/>
      <c r="J1305" s="2972" t="str">
        <f>'Part VIII Scoring Criteria'!J154</f>
        <v>Other Census Tract</v>
      </c>
      <c r="K1305" s="2972"/>
      <c r="L1305" s="2972" t="s">
        <v>3204</v>
      </c>
      <c r="M1305" s="2972"/>
      <c r="N1305" s="2311"/>
      <c r="O1305" s="2398"/>
      <c r="P1305" s="2398"/>
      <c r="Q1305" s="2396"/>
      <c r="R1305" s="2499"/>
      <c r="S1305" s="2199"/>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28.5">
      <c r="A1306" s="2396"/>
      <c r="B1306" s="2396"/>
      <c r="C1306" s="2973" t="s">
        <v>6892</v>
      </c>
      <c r="D1306" s="2396"/>
      <c r="E1306" s="2396"/>
      <c r="F1306" s="2396"/>
      <c r="G1306" s="2396"/>
      <c r="H1306" s="2396"/>
      <c r="I1306" s="2396"/>
      <c r="J1306" s="2974" t="str">
        <f>'Part VIII Scoring Criteria'!J155</f>
        <v>13-063-0405.27</v>
      </c>
      <c r="K1306" s="2974"/>
      <c r="L1306" s="2974"/>
      <c r="M1306" s="2974"/>
      <c r="N1306" s="2311"/>
      <c r="O1306" s="2311"/>
      <c r="P1306" s="2311"/>
      <c r="Q1306" s="2396"/>
      <c r="R1306" s="2199"/>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5">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5">
      <c r="A1308" s="2499" t="s">
        <v>1843</v>
      </c>
      <c r="B1308" s="2930" t="s">
        <v>6213</v>
      </c>
      <c r="C1308" s="2199"/>
      <c r="D1308" s="2199"/>
      <c r="E1308" s="2199"/>
      <c r="F1308" s="2199"/>
      <c r="G1308" s="2199"/>
      <c r="H1308" s="2199"/>
      <c r="I1308" s="2199"/>
      <c r="J1308" s="2199"/>
      <c r="K1308" s="2467"/>
      <c r="L1308" s="2467"/>
      <c r="M1308" s="2311">
        <v>5</v>
      </c>
      <c r="N1308" s="2467"/>
      <c r="O1308" s="2395">
        <f>'Part VIII Scoring Criteria'!O157</f>
        <v>3</v>
      </c>
      <c r="P1308" s="2395"/>
      <c r="Q1308" s="2933" t="str">
        <f>IF(O1308&lt;=M1308,"","*CHECK!*")</f>
        <v/>
      </c>
      <c r="R1308" s="2928"/>
      <c r="S1308" s="2462"/>
      <c r="T1308" s="2462"/>
      <c r="U1308" s="2462"/>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6"/>
      <c r="B1309" s="2396"/>
      <c r="C1309" s="2975" t="s">
        <v>6219</v>
      </c>
      <c r="D1309" s="2396"/>
      <c r="E1309" s="2976" t="s">
        <v>6218</v>
      </c>
      <c r="F1309" s="2976"/>
      <c r="G1309" s="2976"/>
      <c r="H1309" s="2976"/>
      <c r="I1309" s="2341" t="s">
        <v>6893</v>
      </c>
      <c r="J1309" s="2976" t="s">
        <v>6218</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5">
      <c r="A1310" s="2396"/>
      <c r="B1310" s="2396"/>
      <c r="C1310" s="2199" t="s">
        <v>6217</v>
      </c>
      <c r="D1310" s="2396"/>
      <c r="E1310" s="2977" t="str">
        <f>'Part VIII Scoring Criteria'!E159</f>
        <v>Above 60th Percentile</v>
      </c>
      <c r="F1310" s="2977"/>
      <c r="G1310" s="2977"/>
      <c r="H1310" s="2977"/>
      <c r="I1310" s="2978">
        <f>'Part VIII Scoring Criteria'!I159</f>
        <v>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5">
      <c r="A1311" s="2396"/>
      <c r="B1311" s="2404"/>
      <c r="C1311" s="2199" t="s">
        <v>6214</v>
      </c>
      <c r="D1311" s="2396"/>
      <c r="E1311" s="2977" t="str">
        <f>'Part VIII Scoring Criteria'!E160</f>
        <v>At or Below 60th Percentile</v>
      </c>
      <c r="F1311" s="2977"/>
      <c r="G1311" s="2977"/>
      <c r="H1311" s="2977"/>
      <c r="I1311" s="2978">
        <f>'Part VIII Scoring Criteria'!I160</f>
        <v>2021</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5">
      <c r="A1312" s="2396"/>
      <c r="B1312" s="2396"/>
      <c r="C1312" s="2199" t="s">
        <v>6215</v>
      </c>
      <c r="D1312" s="2396"/>
      <c r="E1312" s="2977" t="str">
        <f>'Part VIII Scoring Criteria'!E161</f>
        <v>Above 60th Percentile/Below 80th Percentile</v>
      </c>
      <c r="F1312" s="2977"/>
      <c r="G1312" s="2977"/>
      <c r="H1312" s="2977"/>
      <c r="I1312" s="2978">
        <f>'Part VIII Scoring Criteria'!I161</f>
        <v>0</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5">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5">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5">
      <c r="A1315" s="2199"/>
      <c r="B1315" s="2464" t="s">
        <v>3240</v>
      </c>
      <c r="C1315" s="2199"/>
      <c r="D1315" s="2199"/>
      <c r="E1315" s="2199"/>
      <c r="F1315" s="2199"/>
      <c r="G1315" s="2199"/>
      <c r="H1315" s="2199"/>
      <c r="I1315" s="2199"/>
      <c r="J1315" s="2199"/>
      <c r="K1315" s="2199"/>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409.5">
      <c r="A1316" s="2405" t="str">
        <f>'Part VIII Scoring Criteria'!A165</f>
        <v>The development is within .25 miles of census tract 13-063-0405.27, which is below the 5% poverty level for Metro sites and qualifies our application for 4 points. Additionally, Employment rate is above the 60th percentile for 2021 data, qulaifying for and additional 1 point. 
Justification for Health Insurance Coverage and Median Income points. Applicant is claiming points using 2019 dataset. This year is not available in the drop downs menu's above. Please see below;
2023_qap_qa_instructions_and_responses_040523 question number 021023_02_1067719476 states;
“Regarding Scoring Section - Stable Communities, B. Local Health and Economic Indicators: Can we use the scoring data that was available on November 1, 2022, or MUST we use the data that was released on December 20, 2022?” 
Answer states; “In the case of (Scoring) Stable Communities, Applicants may use either the scoring data that was available on November 1, 2022 or the data that was released on December 20, 2022. Both of these datasets are included in the “DCA Health and Economic Indicators Table" available at the link to the right.” 
The 2018, 2019, and 2020 dataset was available on November 1, 2022. The 2021 dataset was added on December 20, 2022, while the 2018 and 2019 was removed. Since the 2019 dataset was available on November 1, 2022, points are being claimed per the DCA response stated above and 2023 QAP - Documentation and Justifications, Section B.
The site's census tract number did not change in the 2020 update.
These datasets and the site's census tract information are included in Folder 31 of this application, along with all other required minimum documentation.</v>
      </c>
      <c r="B1316" s="2405"/>
      <c r="C1316" s="2405"/>
      <c r="D1316" s="2405"/>
      <c r="E1316" s="2405"/>
      <c r="F1316" s="2405"/>
      <c r="G1316" s="2405"/>
      <c r="H1316" s="2405"/>
      <c r="I1316" s="2405"/>
      <c r="J1316" s="2405"/>
      <c r="K1316" s="2405"/>
      <c r="L1316" s="2405"/>
      <c r="M1316" s="2405"/>
      <c r="N1316" s="2405"/>
      <c r="O1316" s="2405"/>
      <c r="P1316" s="2405"/>
      <c r="Q1316" s="2198"/>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5">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5">
      <c r="A1318" s="2199"/>
      <c r="B1318" s="2935" t="s">
        <v>1730</v>
      </c>
      <c r="C1318" s="2199"/>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5">
      <c r="A1319" s="2405"/>
      <c r="B1319" s="2405"/>
      <c r="C1319" s="2405"/>
      <c r="D1319" s="2405"/>
      <c r="E1319" s="2405"/>
      <c r="F1319" s="2405"/>
      <c r="G1319" s="2405"/>
      <c r="H1319" s="2405"/>
      <c r="I1319" s="2405"/>
      <c r="J1319" s="2405"/>
      <c r="K1319" s="2405"/>
      <c r="L1319" s="2405"/>
      <c r="M1319" s="2405"/>
      <c r="N1319" s="2405"/>
      <c r="O1319" s="2405"/>
      <c r="P1319" s="2405"/>
      <c r="Q1319" s="2198"/>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5">
      <c r="A1320" s="2199"/>
      <c r="B1320" s="2396"/>
      <c r="C1320" s="2396"/>
      <c r="D1320" s="2199"/>
      <c r="E1320" s="2199"/>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5">
      <c r="A1321" s="2199"/>
      <c r="B1321" s="2396"/>
      <c r="C1321" s="2396"/>
      <c r="D1321" s="2199"/>
      <c r="E1321" s="2199"/>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5">
      <c r="A1322" s="2463" t="s">
        <v>343</v>
      </c>
      <c r="B1322" s="2981" t="s">
        <v>4034</v>
      </c>
      <c r="C1322" s="2396"/>
      <c r="D1322" s="2396"/>
      <c r="E1322" s="2396"/>
      <c r="F1322" s="2396"/>
      <c r="G1322" s="2311" t="s">
        <v>3152</v>
      </c>
      <c r="H1322" s="2921">
        <f>IF('Part V-Revenues &amp; Expenses'!$P$67=0,0,'Part V-Revenues &amp; Expenses'!$P$64/'Part V-Revenues &amp; Expenses'!$P$67)</f>
        <v>0.1111111111111111</v>
      </c>
      <c r="I1322" s="2396"/>
      <c r="J1322" s="2396"/>
      <c r="K1322" s="2977" t="str">
        <f>'Part V-Revenues &amp; Expenses'!$O$53</f>
        <v>40% of Units at 60% of AMI</v>
      </c>
      <c r="L1322" s="2977"/>
      <c r="M1322" s="2499">
        <v>1</v>
      </c>
      <c r="N1322" s="2341"/>
      <c r="O1322" s="2395">
        <f>'Part VIII Scoring Criteria'!O171</f>
        <v>1</v>
      </c>
      <c r="P1322" s="2395">
        <f>'Part VIII Scoring Criteria'!P171</f>
        <v>0</v>
      </c>
      <c r="Q1322" s="2499" t="s">
        <v>416</v>
      </c>
      <c r="R1322" s="2928" t="str">
        <f>IF(AND(O1322&gt;0,NOT($F$31="New Supply")), "Ineligible to score in this section, not New Supply!","")</f>
        <v>Ineligible to score in this section, not New Supply!</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5">
      <c r="A1323" s="2499" t="s">
        <v>1841</v>
      </c>
      <c r="B1323" s="2404" t="s">
        <v>3957</v>
      </c>
      <c r="C1323" s="2396"/>
      <c r="D1323" s="2396"/>
      <c r="E1323" s="2396"/>
      <c r="F1323" s="2396"/>
      <c r="G1323" s="2396"/>
      <c r="H1323" s="2396"/>
      <c r="I1323" s="2396"/>
      <c r="J1323" s="2396"/>
      <c r="K1323" s="2396"/>
      <c r="L1323" s="2396"/>
      <c r="M1323" s="2311">
        <v>1</v>
      </c>
      <c r="N1323" s="2467"/>
      <c r="O1323" s="2395">
        <f>'Part VIII Scoring Criteria'!O172</f>
        <v>1</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5">
      <c r="A1324" s="2499" t="s">
        <v>1843</v>
      </c>
      <c r="B1324" s="2404" t="s">
        <v>3812</v>
      </c>
      <c r="C1324" s="2396"/>
      <c r="D1324" s="2396"/>
      <c r="E1324" s="2396"/>
      <c r="F1324" s="2396"/>
      <c r="G1324" s="2396"/>
      <c r="H1324" s="2396"/>
      <c r="I1324" s="2396"/>
      <c r="J1324" s="2396"/>
      <c r="K1324" s="2396"/>
      <c r="L1324" s="2396"/>
      <c r="M1324" s="2341">
        <v>1</v>
      </c>
      <c r="N1324" s="2467"/>
      <c r="O1324" s="2395">
        <f>'Part VIII Scoring Criteria'!O173</f>
        <v>0</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5">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5">
      <c r="A1326" s="2199"/>
      <c r="B1326" s="2935" t="s">
        <v>1730</v>
      </c>
      <c r="C1326" s="2199"/>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5">
      <c r="A1327" s="2405"/>
      <c r="B1327" s="2405"/>
      <c r="C1327" s="2405"/>
      <c r="D1327" s="2405"/>
      <c r="E1327" s="2405"/>
      <c r="F1327" s="2405"/>
      <c r="G1327" s="2405"/>
      <c r="H1327" s="2405"/>
      <c r="I1327" s="2405"/>
      <c r="J1327" s="2405"/>
      <c r="K1327" s="2405"/>
      <c r="L1327" s="2405"/>
      <c r="M1327" s="2405"/>
      <c r="N1327" s="2405"/>
      <c r="O1327" s="2405"/>
      <c r="P1327" s="2405"/>
      <c r="Q1327" s="2198"/>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5">
      <c r="A1328" s="2199"/>
      <c r="B1328" s="2396"/>
      <c r="C1328" s="2396"/>
      <c r="D1328" s="2199"/>
      <c r="E1328" s="2199"/>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5">
      <c r="A1329" s="2199"/>
      <c r="B1329" s="2396"/>
      <c r="C1329" s="2396"/>
      <c r="D1329" s="2199"/>
      <c r="E1329" s="2199"/>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5">
      <c r="A1330" s="2463" t="s">
        <v>344</v>
      </c>
      <c r="B1330" s="2464" t="s">
        <v>3341</v>
      </c>
      <c r="C1330" s="2199"/>
      <c r="D1330" s="2464"/>
      <c r="E1330" s="2464"/>
      <c r="F1330" s="2199"/>
      <c r="G1330" s="2982"/>
      <c r="H1330" s="2199"/>
      <c r="I1330" s="2199"/>
      <c r="J1330" s="2199"/>
      <c r="K1330" s="2199"/>
      <c r="L1330" s="2539" t="str">
        <f>IF(AND(O1330&gt;0,NOT($F$31="New Supply")), "Ineligible to score in this section, not New Supply!","")</f>
        <v/>
      </c>
      <c r="M1330" s="2499">
        <v>10</v>
      </c>
      <c r="N1330" s="2311"/>
      <c r="O1330" s="2395">
        <f>'Part VIII Scoring Criteria'!O179</f>
        <v>0</v>
      </c>
      <c r="P1330" s="2395">
        <f>'Part VIII Scoring Criteria'!P179</f>
        <v>0</v>
      </c>
      <c r="Q1330" s="2499" t="s">
        <v>416</v>
      </c>
      <c r="R1330" s="2462"/>
      <c r="S1330" s="2462"/>
      <c r="T1330" s="2462"/>
      <c r="U1330" s="2462"/>
      <c r="V1330" s="2462"/>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3"/>
      <c r="B1331" s="2464"/>
      <c r="C1331" s="2199"/>
      <c r="D1331" s="2464"/>
      <c r="E1331" s="2464"/>
      <c r="F1331" s="2199"/>
      <c r="G1331" s="2199"/>
      <c r="H1331" s="2199"/>
      <c r="I1331" s="2199"/>
      <c r="J1331" s="2199"/>
      <c r="K1331" s="2199"/>
      <c r="L1331" s="2199"/>
      <c r="M1331" s="2499"/>
      <c r="N1331" s="2199"/>
      <c r="O1331" s="2199"/>
      <c r="P1331" s="2199"/>
      <c r="Q1331" s="2499"/>
      <c r="R1331" s="2462"/>
      <c r="S1331" s="2462"/>
      <c r="T1331" s="2462"/>
      <c r="U1331" s="2462"/>
      <c r="V1331" s="2462"/>
      <c r="W1331" s="2396"/>
      <c r="X1331" s="2396"/>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499" t="s">
        <v>1841</v>
      </c>
      <c r="B1332" s="2983" t="s">
        <v>3262</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5">
      <c r="A1333" s="2499" t="s">
        <v>1843</v>
      </c>
      <c r="B1333" s="2983" t="s">
        <v>3263</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5">
      <c r="A1334" s="2199"/>
      <c r="B1334" s="2464" t="s">
        <v>3240</v>
      </c>
      <c r="C1334" s="2199"/>
      <c r="D1334" s="2199"/>
      <c r="E1334" s="2199"/>
      <c r="F1334" s="2199"/>
      <c r="G1334" s="2199"/>
      <c r="H1334" s="2199"/>
      <c r="I1334" s="2199"/>
      <c r="J1334" s="2199"/>
      <c r="K1334" s="2199"/>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42.75">
      <c r="A1335" s="2405" t="str">
        <f>'Part VIII Scoring Criteria'!A184</f>
        <v>This section is NA</v>
      </c>
      <c r="B1335" s="2405"/>
      <c r="C1335" s="2405"/>
      <c r="D1335" s="2405"/>
      <c r="E1335" s="2405"/>
      <c r="F1335" s="2405"/>
      <c r="G1335" s="2405"/>
      <c r="H1335" s="2405"/>
      <c r="I1335" s="2405"/>
      <c r="J1335" s="2405"/>
      <c r="K1335" s="2405"/>
      <c r="L1335" s="2405"/>
      <c r="M1335" s="2405"/>
      <c r="N1335" s="2405"/>
      <c r="O1335" s="2405"/>
      <c r="P1335" s="2405"/>
      <c r="Q1335" s="2198"/>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5">
      <c r="A1336" s="2199"/>
      <c r="B1336" s="2935" t="s">
        <v>1730</v>
      </c>
      <c r="C1336" s="2199"/>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5">
      <c r="A1337" s="2405"/>
      <c r="B1337" s="2405"/>
      <c r="C1337" s="2405"/>
      <c r="D1337" s="2405"/>
      <c r="E1337" s="2405"/>
      <c r="F1337" s="2405"/>
      <c r="G1337" s="2405"/>
      <c r="H1337" s="2405"/>
      <c r="I1337" s="2405"/>
      <c r="J1337" s="2405"/>
      <c r="K1337" s="2405"/>
      <c r="L1337" s="2405"/>
      <c r="M1337" s="2405"/>
      <c r="N1337" s="2405"/>
      <c r="O1337" s="2405"/>
      <c r="P1337" s="2405"/>
      <c r="Q1337" s="2198"/>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5">
      <c r="A1338" s="2199"/>
      <c r="B1338" s="2396"/>
      <c r="C1338" s="2396"/>
      <c r="D1338" s="2199"/>
      <c r="E1338" s="2199"/>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5">
      <c r="A1339" s="2199"/>
      <c r="B1339" s="2396"/>
      <c r="C1339" s="2396"/>
      <c r="D1339" s="2199"/>
      <c r="E1339" s="2199"/>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5">
      <c r="A1340" s="2463" t="s">
        <v>1604</v>
      </c>
      <c r="B1340" s="2464" t="s">
        <v>4036</v>
      </c>
      <c r="C1340" s="2396"/>
      <c r="D1340" s="2396"/>
      <c r="E1340" s="2928" t="str">
        <f>IF(AND(O1340&gt;0,NOT($F$31="New Supply")), "Ineligible to score in this section, not New Supply!","")</f>
        <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0</v>
      </c>
      <c r="P1340" s="2395">
        <f>'Part VIII Scoring Criteria'!P189</f>
        <v>0</v>
      </c>
      <c r="Q1340" s="2499" t="s">
        <v>416</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6256</v>
      </c>
      <c r="C1341" s="2402"/>
      <c r="D1341" s="2402"/>
      <c r="E1341" s="2402"/>
      <c r="F1341" s="2402"/>
      <c r="G1341" s="2341" t="s">
        <v>6857</v>
      </c>
      <c r="H1341" s="2396" t="s">
        <v>574</v>
      </c>
      <c r="I1341" s="2396"/>
      <c r="J1341" s="2396"/>
      <c r="K1341" s="2465" t="s">
        <v>6929</v>
      </c>
      <c r="L1341" s="2465"/>
      <c r="M1341" s="2465"/>
      <c r="N1341" s="2934"/>
      <c r="O1341" s="2499">
        <f>'Part VIII Scoring Criteria'!O190</f>
        <v>0</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5">
      <c r="A1342" s="2949"/>
      <c r="B1342" s="2949"/>
      <c r="C1342" s="2396"/>
      <c r="D1342" s="2397" t="s">
        <v>6257</v>
      </c>
      <c r="E1342" s="2396"/>
      <c r="F1342" s="2396"/>
      <c r="G1342" s="2311">
        <f>'Part VIII Scoring Criteria'!G191</f>
        <v>0</v>
      </c>
      <c r="H1342" s="2199">
        <f>'Part VIII Scoring Criteria'!H191</f>
        <v>0</v>
      </c>
      <c r="I1342" s="2199"/>
      <c r="J1342" s="2199"/>
      <c r="K1342" s="2985">
        <f>'Part VIII Scoring Criteria'!K191</f>
        <v>0</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5">
      <c r="A1343" s="2966"/>
      <c r="B1343" s="2949"/>
      <c r="C1343" s="2199"/>
      <c r="D1343" s="2399" t="s">
        <v>6258</v>
      </c>
      <c r="E1343" s="2199"/>
      <c r="F1343" s="2199"/>
      <c r="G1343" s="2311">
        <f>'Part VIII Scoring Criteria'!G192</f>
        <v>0</v>
      </c>
      <c r="H1343" s="2199">
        <f>'Part VIII Scoring Criteria'!H192</f>
        <v>0</v>
      </c>
      <c r="I1343" s="2199"/>
      <c r="J1343" s="2199"/>
      <c r="K1343" s="2985">
        <f>'Part VIII Scoring Criteria'!K192</f>
        <v>0</v>
      </c>
      <c r="L1343" s="2985"/>
      <c r="M1343" s="2985"/>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6"/>
      <c r="C1344" s="2396"/>
      <c r="D1344" s="2199"/>
      <c r="E1344" s="2199"/>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5">
      <c r="A1345" s="2199"/>
      <c r="B1345" s="2464" t="s">
        <v>3240</v>
      </c>
      <c r="C1345" s="2199"/>
      <c r="D1345" s="2199"/>
      <c r="E1345" s="2199"/>
      <c r="F1345" s="2199"/>
      <c r="G1345" s="2199"/>
      <c r="H1345" s="2199"/>
      <c r="I1345" s="2199"/>
      <c r="J1345" s="2199"/>
      <c r="K1345" s="2199"/>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42.75">
      <c r="A1346" s="2405" t="str">
        <f>'Part VIII Scoring Criteria'!A195</f>
        <v>This section is NA</v>
      </c>
      <c r="B1346" s="2405"/>
      <c r="C1346" s="2405"/>
      <c r="D1346" s="2405"/>
      <c r="E1346" s="2405"/>
      <c r="F1346" s="2405"/>
      <c r="G1346" s="2405"/>
      <c r="H1346" s="2405"/>
      <c r="I1346" s="2405"/>
      <c r="J1346" s="2405"/>
      <c r="K1346" s="2405"/>
      <c r="L1346" s="2405"/>
      <c r="M1346" s="2405"/>
      <c r="N1346" s="2405"/>
      <c r="O1346" s="2405"/>
      <c r="P1346" s="2405"/>
      <c r="Q1346" s="2198"/>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5">
      <c r="A1347" s="2396"/>
      <c r="B1347" s="2935" t="s">
        <v>1730</v>
      </c>
      <c r="C1347" s="2199"/>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5">
      <c r="A1348" s="2405"/>
      <c r="B1348" s="2405"/>
      <c r="C1348" s="2405"/>
      <c r="D1348" s="2405"/>
      <c r="E1348" s="2405"/>
      <c r="F1348" s="2405"/>
      <c r="G1348" s="2405"/>
      <c r="H1348" s="2405"/>
      <c r="I1348" s="2405"/>
      <c r="J1348" s="2405"/>
      <c r="K1348" s="2405"/>
      <c r="L1348" s="2405"/>
      <c r="M1348" s="2405"/>
      <c r="N1348" s="2405"/>
      <c r="O1348" s="2405"/>
      <c r="P1348" s="2405"/>
      <c r="Q1348" s="2198"/>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5">
      <c r="A1349" s="2199"/>
      <c r="B1349" s="2396"/>
      <c r="C1349" s="2396"/>
      <c r="D1349" s="2199"/>
      <c r="E1349" s="2199"/>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5">
      <c r="A1350" s="2199"/>
      <c r="B1350" s="2396"/>
      <c r="C1350" s="2396"/>
      <c r="D1350" s="2199"/>
      <c r="E1350" s="2199"/>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5">
      <c r="A1351" s="2463" t="s">
        <v>2495</v>
      </c>
      <c r="B1351" s="2464" t="s">
        <v>3960</v>
      </c>
      <c r="C1351" s="2396"/>
      <c r="D1351" s="2396"/>
      <c r="E1351" s="2396"/>
      <c r="F1351" s="2396"/>
      <c r="G1351" s="2933"/>
      <c r="H1351" s="2396"/>
      <c r="I1351" s="2396"/>
      <c r="J1351" s="2396"/>
      <c r="K1351" s="2396"/>
      <c r="L1351" s="2539" t="str">
        <f>IF(AND(O1351&gt;0,NOT($F$31="New Supply")), "Ineligible to score in this section, not New Supply!","")</f>
        <v>Ineligible to score in this section, not New Supply!</v>
      </c>
      <c r="M1351" s="2499">
        <v>5</v>
      </c>
      <c r="N1351" s="2311"/>
      <c r="O1351" s="2395">
        <f>'Part VIII Scoring Criteria'!O200</f>
        <v>5</v>
      </c>
      <c r="P1351" s="2395">
        <f>'Part VIII Scoring Criteria'!P200</f>
        <v>0</v>
      </c>
      <c r="Q1351" s="2499" t="s">
        <v>416</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5">
      <c r="A1352" s="2539" t="s">
        <v>1841</v>
      </c>
      <c r="B1352" s="2198" t="s">
        <v>7026</v>
      </c>
      <c r="C1352" s="2199"/>
      <c r="D1352" s="2199"/>
      <c r="E1352" s="2199"/>
      <c r="F1352" s="2199"/>
      <c r="G1352" s="2199"/>
      <c r="H1352" s="2199"/>
      <c r="I1352" s="2199"/>
      <c r="J1352" s="2199"/>
      <c r="K1352" s="2199"/>
      <c r="L1352" s="2199"/>
      <c r="M1352" s="2311">
        <v>5</v>
      </c>
      <c r="N1352" s="2467"/>
      <c r="O1352" s="2395">
        <f>'Part VIII Scoring Criteria'!O201</f>
        <v>5</v>
      </c>
      <c r="P1352" s="2395"/>
      <c r="Q1352" s="2968" t="str">
        <f>IF(OR($O1352=$M1352,$O1352=$M1352-1,$O1352=0,$O1352=""),"","*CHECK!*")</f>
        <v/>
      </c>
      <c r="R1352" s="2928"/>
      <c r="S1352" s="2462"/>
      <c r="T1352" s="2462"/>
      <c r="U1352" s="2462"/>
      <c r="V1352" s="2462"/>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39" t="s">
        <v>1843</v>
      </c>
      <c r="B1353" s="2198" t="s">
        <v>6266</v>
      </c>
      <c r="C1353" s="2199"/>
      <c r="D1353" s="2199"/>
      <c r="E1353" s="2199"/>
      <c r="F1353" s="2199"/>
      <c r="G1353" s="2199"/>
      <c r="H1353" s="2199"/>
      <c r="I1353" s="2199"/>
      <c r="J1353" s="2199"/>
      <c r="K1353" s="2199"/>
      <c r="L1353" s="2199"/>
      <c r="M1353" s="2311">
        <v>3</v>
      </c>
      <c r="N1353" s="2467"/>
      <c r="O1353" s="2395">
        <f>'Part VIII Scoring Criteria'!O202</f>
        <v>0</v>
      </c>
      <c r="P1353" s="2395"/>
      <c r="Q1353" s="2968" t="str">
        <f>IF(OR($O1353=$M1353,$O1353=$M1353-1,$O1353=0,$O1353=""),"","*CHECK!*")</f>
        <v/>
      </c>
      <c r="R1353" s="2928"/>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39" t="s">
        <v>698</v>
      </c>
      <c r="B1354" s="2198" t="s">
        <v>6267</v>
      </c>
      <c r="C1354" s="2396"/>
      <c r="D1354" s="2396"/>
      <c r="E1354" s="2399" t="s">
        <v>6229</v>
      </c>
      <c r="F1354" s="2396"/>
      <c r="G1354" s="2396"/>
      <c r="H1354" s="2396"/>
      <c r="I1354" s="2933"/>
      <c r="J1354" s="2396"/>
      <c r="K1354" s="2396"/>
      <c r="L1354" s="2462"/>
      <c r="M1354" s="2311">
        <v>3</v>
      </c>
      <c r="N1354" s="2467"/>
      <c r="O1354" s="2395">
        <f>'Part VIII Scoring Criteria'!O203</f>
        <v>0</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5">
      <c r="A1355" s="2199"/>
      <c r="B1355" s="2464" t="s">
        <v>3240</v>
      </c>
      <c r="C1355" s="2199"/>
      <c r="D1355" s="2199"/>
      <c r="E1355" s="2199"/>
      <c r="F1355" s="2199"/>
      <c r="G1355" s="2199"/>
      <c r="H1355" s="2199"/>
      <c r="I1355" s="2199"/>
      <c r="J1355" s="2199"/>
      <c r="K1355" s="2199"/>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409.5">
      <c r="A1356" s="2405" t="str">
        <f>'Part VIII Scoring Criteria'!A205</f>
        <v>The project is located in the local government boundary of Clayton County, outside of any city's jurisdiction. There have been no 9% allocations in unincorporated Clayton County within the last 15 years. The DCA projects map is included in the Previous Projects folder.</v>
      </c>
      <c r="B1356" s="2405"/>
      <c r="C1356" s="2405"/>
      <c r="D1356" s="2405"/>
      <c r="E1356" s="2405"/>
      <c r="F1356" s="2405"/>
      <c r="G1356" s="2405"/>
      <c r="H1356" s="2405"/>
      <c r="I1356" s="2405"/>
      <c r="J1356" s="2405"/>
      <c r="K1356" s="2405"/>
      <c r="L1356" s="2405"/>
      <c r="M1356" s="2405"/>
      <c r="N1356" s="2405"/>
      <c r="O1356" s="2405"/>
      <c r="P1356" s="2405"/>
      <c r="Q1356" s="2198"/>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5">
      <c r="A1357" s="2396"/>
      <c r="B1357" s="2935" t="s">
        <v>1730</v>
      </c>
      <c r="C1357" s="2199"/>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5">
      <c r="A1358" s="2405"/>
      <c r="B1358" s="2405"/>
      <c r="C1358" s="2405"/>
      <c r="D1358" s="2405"/>
      <c r="E1358" s="2405"/>
      <c r="F1358" s="2405"/>
      <c r="G1358" s="2405"/>
      <c r="H1358" s="2405"/>
      <c r="I1358" s="2405"/>
      <c r="J1358" s="2405"/>
      <c r="K1358" s="2405"/>
      <c r="L1358" s="2405"/>
      <c r="M1358" s="2405"/>
      <c r="N1358" s="2405"/>
      <c r="O1358" s="2405"/>
      <c r="P1358" s="2405"/>
      <c r="Q1358" s="2198"/>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5">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5">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5">
      <c r="A1361" s="2981" t="s">
        <v>2080</v>
      </c>
      <c r="B1361" s="2464" t="s">
        <v>2515</v>
      </c>
      <c r="C1361" s="2396"/>
      <c r="D1361" s="2396"/>
      <c r="E1361" s="2396"/>
      <c r="F1361" s="2396"/>
      <c r="G1361" s="2396"/>
      <c r="H1361" s="2399"/>
      <c r="I1361" s="2396"/>
      <c r="J1361" s="2311"/>
      <c r="K1361" s="2199"/>
      <c r="L1361" s="2467"/>
      <c r="M1361" s="2499">
        <v>4</v>
      </c>
      <c r="N1361" s="2311"/>
      <c r="O1361" s="2395">
        <f>'Part VIII Scoring Criteria'!O210</f>
        <v>4</v>
      </c>
      <c r="P1361" s="2395">
        <f>'Part VIII Scoring Criteria'!P210</f>
        <v>0</v>
      </c>
      <c r="Q1361" s="2499" t="s">
        <v>416</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5">
      <c r="A1362" s="2539" t="s">
        <v>1841</v>
      </c>
      <c r="B1362" s="2198" t="s">
        <v>2065</v>
      </c>
      <c r="C1362" s="2199"/>
      <c r="D1362" s="2933"/>
      <c r="E1362" s="2933"/>
      <c r="F1362" s="2199"/>
      <c r="G1362" s="2396"/>
      <c r="H1362" s="2199"/>
      <c r="I1362" s="2199"/>
      <c r="J1362" s="2199"/>
      <c r="K1362" s="2199"/>
      <c r="L1362" s="2927"/>
      <c r="M1362" s="2311">
        <v>3</v>
      </c>
      <c r="N1362" s="2467"/>
      <c r="O1362" s="2906">
        <f>'Part VIII Scoring Criteria'!O211</f>
        <v>3</v>
      </c>
      <c r="P1362" s="2906">
        <f>'Part VIII Scoring Criteria'!P211</f>
        <v>0</v>
      </c>
      <c r="Q1362" s="2968"/>
      <c r="R1362" s="2928"/>
      <c r="S1362" s="2199"/>
      <c r="T1362" s="2986"/>
      <c r="U1362" s="2986"/>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39"/>
      <c r="B1363" s="2966" t="s">
        <v>1844</v>
      </c>
      <c r="C1363" s="2399" t="s">
        <v>6612</v>
      </c>
      <c r="D1363" s="2933"/>
      <c r="E1363" s="2933"/>
      <c r="F1363" s="2199"/>
      <c r="G1363" s="2396"/>
      <c r="H1363" s="2199"/>
      <c r="I1363" s="2199"/>
      <c r="J1363" s="2199"/>
      <c r="K1363" s="2199"/>
      <c r="L1363" s="2927"/>
      <c r="M1363" s="2311">
        <v>3</v>
      </c>
      <c r="N1363" s="2932"/>
      <c r="O1363" s="2395" t="str">
        <f>'Part VIII Scoring Criteria'!O212</f>
        <v>Yes</v>
      </c>
      <c r="P1363" s="2499"/>
      <c r="Q1363" s="2968"/>
      <c r="R1363" s="2928"/>
      <c r="S1363" s="2199"/>
      <c r="T1363" s="2986"/>
      <c r="U1363" s="2986"/>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39"/>
      <c r="B1364" s="2949" t="s">
        <v>1846</v>
      </c>
      <c r="C1364" s="2399" t="s">
        <v>6613</v>
      </c>
      <c r="D1364" s="2933"/>
      <c r="E1364" s="2933"/>
      <c r="F1364" s="2199"/>
      <c r="G1364" s="2396"/>
      <c r="H1364" s="2199"/>
      <c r="I1364" s="2199"/>
      <c r="J1364" s="2199"/>
      <c r="K1364" s="2199"/>
      <c r="L1364" s="2927"/>
      <c r="M1364" s="2311">
        <v>2</v>
      </c>
      <c r="N1364" s="2932"/>
      <c r="O1364" s="2395" t="str">
        <f>'Part VIII Scoring Criteria'!O213</f>
        <v>N/a</v>
      </c>
      <c r="P1364" s="2499"/>
      <c r="Q1364" s="2968"/>
      <c r="R1364" s="2928"/>
      <c r="S1364" s="2199"/>
      <c r="T1364" s="2986"/>
      <c r="U1364" s="2986"/>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39"/>
      <c r="B1365" s="2949" t="s">
        <v>2332</v>
      </c>
      <c r="C1365" s="2399" t="s">
        <v>6614</v>
      </c>
      <c r="D1365" s="2933"/>
      <c r="E1365" s="2933"/>
      <c r="F1365" s="2199"/>
      <c r="G1365" s="2396"/>
      <c r="H1365" s="2199"/>
      <c r="I1365" s="2199"/>
      <c r="J1365" s="2199"/>
      <c r="K1365" s="2467"/>
      <c r="L1365" s="2199"/>
      <c r="M1365" s="2311">
        <v>1</v>
      </c>
      <c r="N1365" s="2932"/>
      <c r="O1365" s="2395" t="str">
        <f>'Part VIII Scoring Criteria'!O214</f>
        <v>N/a</v>
      </c>
      <c r="P1365" s="2499"/>
      <c r="Q1365" s="2199"/>
      <c r="R1365" s="2396"/>
      <c r="S1365" s="2199"/>
      <c r="T1365" s="2986"/>
      <c r="U1365" s="2986"/>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39" t="s">
        <v>1843</v>
      </c>
      <c r="B1366" s="2198" t="s">
        <v>3952</v>
      </c>
      <c r="C1366" s="2396"/>
      <c r="D1366" s="2199"/>
      <c r="E1366" s="2396"/>
      <c r="F1366" s="2396"/>
      <c r="G1366" s="2396"/>
      <c r="H1366" s="2396"/>
      <c r="I1366" s="2396"/>
      <c r="J1366" s="2396"/>
      <c r="K1366" s="2199"/>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9" t="s">
        <v>6894</v>
      </c>
      <c r="C1367" s="2437"/>
      <c r="D1367" s="2437"/>
      <c r="E1367" s="2437"/>
      <c r="F1367" s="2437"/>
      <c r="G1367" s="2437"/>
      <c r="H1367" s="2437"/>
      <c r="I1367" s="2437"/>
      <c r="J1367" s="2437"/>
      <c r="K1367" s="2437"/>
      <c r="L1367" s="2437"/>
      <c r="M1367" s="2311"/>
      <c r="N1367" s="2467"/>
      <c r="O1367" s="2395" t="str">
        <f>'Part VIII Scoring Criteria'!O216</f>
        <v>N/a</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5">
      <c r="A1368" s="2539" t="s">
        <v>698</v>
      </c>
      <c r="B1368" s="2198" t="s">
        <v>3824</v>
      </c>
      <c r="C1368" s="2396"/>
      <c r="D1368" s="2199"/>
      <c r="E1368" s="2396"/>
      <c r="F1368" s="2396"/>
      <c r="G1368" s="2396"/>
      <c r="H1368" s="2199"/>
      <c r="I1368" s="2396"/>
      <c r="J1368" s="2396"/>
      <c r="K1368" s="2199"/>
      <c r="L1368" s="2927"/>
      <c r="M1368" s="2311">
        <v>1</v>
      </c>
      <c r="N1368" s="2467"/>
      <c r="O1368" s="2906">
        <f>'Part VIII Scoring Criteria'!O217</f>
        <v>1</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7027</v>
      </c>
      <c r="C1369" s="2405"/>
      <c r="D1369" s="2405"/>
      <c r="E1369" s="2405"/>
      <c r="F1369" s="2405"/>
      <c r="G1369" s="2405"/>
      <c r="H1369" s="2405"/>
      <c r="I1369" s="2405"/>
      <c r="J1369" s="2405"/>
      <c r="K1369" s="2405"/>
      <c r="L1369" s="2405"/>
      <c r="M1369" s="2311"/>
      <c r="N1369" s="2467"/>
      <c r="O1369" s="2395" t="str">
        <f>'Part VIII Scoring Criteria'!O218</f>
        <v>Yes</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5">
      <c r="A1370" s="2199"/>
      <c r="B1370" s="2935" t="s">
        <v>1730</v>
      </c>
      <c r="C1370" s="2199"/>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5">
      <c r="A1371" s="2405"/>
      <c r="B1371" s="2405"/>
      <c r="C1371" s="2405"/>
      <c r="D1371" s="2405"/>
      <c r="E1371" s="2405"/>
      <c r="F1371" s="2405"/>
      <c r="G1371" s="2405"/>
      <c r="H1371" s="2405"/>
      <c r="I1371" s="2405"/>
      <c r="J1371" s="2405"/>
      <c r="K1371" s="2405"/>
      <c r="L1371" s="2405"/>
      <c r="M1371" s="2405"/>
      <c r="N1371" s="2405"/>
      <c r="O1371" s="2405"/>
      <c r="P1371" s="2405"/>
      <c r="Q1371" s="2198"/>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5">
      <c r="A1372" s="2199"/>
      <c r="B1372" s="2396"/>
      <c r="C1372" s="2396"/>
      <c r="D1372" s="2199"/>
      <c r="E1372" s="2199"/>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5">
      <c r="A1373" s="2199"/>
      <c r="B1373" s="2396"/>
      <c r="C1373" s="2396"/>
      <c r="D1373" s="2199"/>
      <c r="E1373" s="2199"/>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5">
      <c r="A1374" s="2463" t="s">
        <v>3369</v>
      </c>
      <c r="B1374" s="2464" t="s">
        <v>6572</v>
      </c>
      <c r="C1374" s="2199"/>
      <c r="D1374" s="2464"/>
      <c r="E1374" s="2464"/>
      <c r="F1374" s="2199"/>
      <c r="G1374" s="2982"/>
      <c r="H1374" s="2199"/>
      <c r="I1374" s="2928"/>
      <c r="J1374" s="2499"/>
      <c r="K1374" s="2199"/>
      <c r="L1374" s="2539"/>
      <c r="M1374" s="2499">
        <v>2</v>
      </c>
      <c r="N1374" s="2311"/>
      <c r="O1374" s="2395">
        <f>'Part VIII Scoring Criteria'!O223</f>
        <v>0</v>
      </c>
      <c r="P1374" s="2395">
        <f>'Part VIII Scoring Criteria'!P223</f>
        <v>0</v>
      </c>
      <c r="Q1374" s="2499" t="s">
        <v>416</v>
      </c>
      <c r="R1374" s="2462"/>
      <c r="S1374" s="2462"/>
      <c r="T1374" s="2462"/>
      <c r="U1374" s="2462"/>
      <c r="V1374" s="2462"/>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499"/>
      <c r="B1375" s="2403" t="s">
        <v>6858</v>
      </c>
      <c r="C1375" s="2396"/>
      <c r="D1375" s="2403"/>
      <c r="E1375" s="2403"/>
      <c r="F1375" s="2403"/>
      <c r="G1375" s="2403"/>
      <c r="H1375" s="2403"/>
      <c r="I1375" s="2396"/>
      <c r="J1375" s="2396"/>
      <c r="K1375" s="2396"/>
      <c r="L1375" s="2403"/>
      <c r="M1375" s="2341"/>
      <c r="N1375" s="2467"/>
      <c r="O1375" s="2499">
        <f>'Part VIII Scoring Criteria'!O224</f>
        <v>0</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9" t="s">
        <v>6895</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15">
      <c r="A1377" s="2396"/>
      <c r="B1377" s="2405">
        <f>'Part VIII Scoring Criteria'!B226</f>
        <v>0</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5">
      <c r="A1378" s="2199"/>
      <c r="B1378" s="2464" t="s">
        <v>3240</v>
      </c>
      <c r="C1378" s="2199"/>
      <c r="D1378" s="2199"/>
      <c r="E1378" s="2199"/>
      <c r="F1378" s="2199"/>
      <c r="G1378" s="2199"/>
      <c r="H1378" s="2199"/>
      <c r="I1378" s="2199"/>
      <c r="J1378" s="2199"/>
      <c r="K1378" s="2199"/>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128.25">
      <c r="A1379" s="2405" t="str">
        <f>'Part VIII Scoring Criteria'!A228</f>
        <v>The project is not in the Atlanta Metro. This section is NA.</v>
      </c>
      <c r="B1379" s="2405"/>
      <c r="C1379" s="2405"/>
      <c r="D1379" s="2405"/>
      <c r="E1379" s="2405"/>
      <c r="F1379" s="2405"/>
      <c r="G1379" s="2405"/>
      <c r="H1379" s="2405"/>
      <c r="I1379" s="2405"/>
      <c r="J1379" s="2405"/>
      <c r="K1379" s="2405"/>
      <c r="L1379" s="2405"/>
      <c r="M1379" s="2405"/>
      <c r="N1379" s="2405"/>
      <c r="O1379" s="2405"/>
      <c r="P1379" s="2405"/>
      <c r="Q1379" s="2198"/>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5">
      <c r="A1380" s="2199"/>
      <c r="B1380" s="2935" t="s">
        <v>1730</v>
      </c>
      <c r="C1380" s="2199"/>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5">
      <c r="A1381" s="2405"/>
      <c r="B1381" s="2405"/>
      <c r="C1381" s="2405"/>
      <c r="D1381" s="2405"/>
      <c r="E1381" s="2405"/>
      <c r="F1381" s="2405"/>
      <c r="G1381" s="2405"/>
      <c r="H1381" s="2405"/>
      <c r="I1381" s="2405"/>
      <c r="J1381" s="2405"/>
      <c r="K1381" s="2405"/>
      <c r="L1381" s="2405"/>
      <c r="M1381" s="2405"/>
      <c r="N1381" s="2405"/>
      <c r="O1381" s="2405"/>
      <c r="P1381" s="2405"/>
      <c r="Q1381" s="2198"/>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5">
      <c r="A1382" s="2199"/>
      <c r="B1382" s="2396"/>
      <c r="C1382" s="2396"/>
      <c r="D1382" s="2199"/>
      <c r="E1382" s="2199"/>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5">
      <c r="A1383" s="2199"/>
      <c r="B1383" s="2396"/>
      <c r="C1383" s="2396"/>
      <c r="D1383" s="2199"/>
      <c r="E1383" s="2199"/>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5">
      <c r="A1384" s="2463" t="s">
        <v>3370</v>
      </c>
      <c r="B1384" s="2464" t="s">
        <v>6577</v>
      </c>
      <c r="C1384" s="2199"/>
      <c r="D1384" s="2464"/>
      <c r="E1384" s="2464"/>
      <c r="F1384" s="2199"/>
      <c r="G1384" s="2982"/>
      <c r="H1384" s="2199"/>
      <c r="I1384" s="2199"/>
      <c r="J1384" s="2199"/>
      <c r="K1384" s="2199"/>
      <c r="L1384" s="2539" t="str">
        <f>IF(AND(O1392&gt;0,O1395&gt;0), "Choose only one option!","")</f>
        <v/>
      </c>
      <c r="M1384" s="2499">
        <v>2</v>
      </c>
      <c r="N1384" s="2311"/>
      <c r="O1384" s="2395">
        <f>'Part VIII Scoring Criteria'!O233</f>
        <v>2</v>
      </c>
      <c r="P1384" s="2395">
        <f>'Part VIII Scoring Criteria'!P233</f>
        <v>0</v>
      </c>
      <c r="Q1384" s="2499" t="s">
        <v>416</v>
      </c>
      <c r="R1384" s="2462"/>
      <c r="S1384" s="2462"/>
      <c r="T1384" s="2462"/>
      <c r="U1384" s="2462"/>
      <c r="V1384" s="2462"/>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3"/>
      <c r="B1385" s="2199" t="s">
        <v>6896</v>
      </c>
      <c r="C1385" s="2199"/>
      <c r="D1385" s="2464"/>
      <c r="E1385" s="2464"/>
      <c r="F1385" s="2199"/>
      <c r="G1385" s="2199"/>
      <c r="H1385" s="2199"/>
      <c r="I1385" s="2199"/>
      <c r="J1385" s="2987"/>
      <c r="K1385" s="2199"/>
      <c r="L1385" s="2199"/>
      <c r="M1385" s="2499"/>
      <c r="N1385" s="2199"/>
      <c r="O1385" s="2199"/>
      <c r="P1385" s="2199"/>
      <c r="Q1385" s="2499"/>
      <c r="R1385" s="2462"/>
      <c r="S1385" s="2462"/>
      <c r="T1385" s="2462"/>
      <c r="U1385" s="2462"/>
      <c r="V1385" s="2462"/>
      <c r="W1385" s="2396"/>
      <c r="X1385" s="2396"/>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3"/>
      <c r="B1386" s="2199"/>
      <c r="C1386" s="2199" t="s">
        <v>6692</v>
      </c>
      <c r="D1386" s="2199"/>
      <c r="E1386" s="2199"/>
      <c r="F1386" s="2199"/>
      <c r="G1386" s="2199"/>
      <c r="H1386" s="2199"/>
      <c r="I1386" s="2199">
        <f>'Part VIII Scoring Criteria'!I235</f>
        <v>0</v>
      </c>
      <c r="J1386" s="2199"/>
      <c r="K1386" s="2199"/>
      <c r="L1386" s="2199"/>
      <c r="M1386" s="2499"/>
      <c r="N1386" s="2199"/>
      <c r="O1386" s="2465" t="s">
        <v>6897</v>
      </c>
      <c r="P1386" s="2465"/>
      <c r="Q1386" s="2499"/>
      <c r="R1386" s="2462"/>
      <c r="S1386" s="2462"/>
      <c r="T1386" s="2462"/>
      <c r="U1386" s="2462"/>
      <c r="V1386" s="2462"/>
      <c r="W1386" s="2396"/>
      <c r="X1386" s="2396"/>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3"/>
      <c r="B1387" s="2199"/>
      <c r="C1387" s="2199" t="s">
        <v>6691</v>
      </c>
      <c r="D1387" s="2199"/>
      <c r="E1387" s="2199"/>
      <c r="F1387" s="2199"/>
      <c r="G1387" s="2199"/>
      <c r="H1387" s="2199"/>
      <c r="I1387" s="2199">
        <f>'Part VIII Scoring Criteria'!I236</f>
        <v>0</v>
      </c>
      <c r="J1387" s="2199"/>
      <c r="K1387" s="2199"/>
      <c r="L1387" s="2199"/>
      <c r="M1387" s="2499"/>
      <c r="N1387" s="2199"/>
      <c r="O1387" s="2465"/>
      <c r="P1387" s="2465" t="s">
        <v>3150</v>
      </c>
      <c r="Q1387" s="2499"/>
      <c r="R1387" s="2462"/>
      <c r="S1387" s="2462"/>
      <c r="T1387" s="2462"/>
      <c r="U1387" s="2462"/>
      <c r="V1387" s="2462"/>
      <c r="W1387" s="2396"/>
      <c r="X1387" s="2396"/>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3"/>
      <c r="B1388" s="2199"/>
      <c r="C1388" s="2199" t="s">
        <v>6693</v>
      </c>
      <c r="D1388" s="2199"/>
      <c r="E1388" s="2199"/>
      <c r="F1388" s="2199"/>
      <c r="G1388" s="2199"/>
      <c r="H1388" s="2199"/>
      <c r="I1388" s="2199" t="str">
        <f>'Part VIII Scoring Criteria'!I237</f>
        <v>Select Certification</v>
      </c>
      <c r="J1388" s="2199"/>
      <c r="K1388" s="2199"/>
      <c r="L1388" s="2199"/>
      <c r="M1388" s="2499"/>
      <c r="N1388" s="2199"/>
      <c r="O1388" s="2465"/>
      <c r="P1388" s="2465"/>
      <c r="Q1388" s="2499"/>
      <c r="R1388" s="2462"/>
      <c r="S1388" s="2462"/>
      <c r="T1388" s="2462"/>
      <c r="U1388" s="2462"/>
      <c r="V1388" s="2462"/>
      <c r="W1388" s="2396"/>
      <c r="X1388" s="2396"/>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3"/>
      <c r="B1389" s="2199"/>
      <c r="C1389" s="2396"/>
      <c r="D1389" s="2396"/>
      <c r="E1389" s="2396"/>
      <c r="F1389" s="2396"/>
      <c r="G1389" s="2396"/>
      <c r="H1389" s="2198"/>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9" t="s">
        <v>6859</v>
      </c>
      <c r="D1390" s="2437"/>
      <c r="E1390" s="2437"/>
      <c r="F1390" s="2437"/>
      <c r="G1390" s="2437"/>
      <c r="H1390" s="2437"/>
      <c r="I1390" s="2437"/>
      <c r="J1390" s="2437"/>
      <c r="K1390" s="2437"/>
      <c r="L1390" s="2437"/>
      <c r="M1390" s="2199"/>
      <c r="N1390" s="2467"/>
      <c r="O1390" s="2311">
        <f>'Part VIII Scoring Criteria'!O239</f>
        <v>0</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5">
      <c r="A1391" s="2199"/>
      <c r="B1391" s="2396"/>
      <c r="C1391" s="2396"/>
      <c r="D1391" s="2199"/>
      <c r="E1391" s="2199"/>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5">
      <c r="A1392" s="2499" t="s">
        <v>1841</v>
      </c>
      <c r="B1392" s="2983" t="s">
        <v>6578</v>
      </c>
      <c r="C1392" s="2396"/>
      <c r="D1392" s="2403"/>
      <c r="E1392" s="2403"/>
      <c r="F1392" s="2396"/>
      <c r="G1392" s="2403" t="s">
        <v>6586</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6587</v>
      </c>
      <c r="D1393" s="2405"/>
      <c r="E1393" s="2405"/>
      <c r="F1393" s="2405"/>
      <c r="G1393" s="2405"/>
      <c r="H1393" s="2405"/>
      <c r="I1393" s="2405"/>
      <c r="J1393" s="2405"/>
      <c r="K1393" s="2405"/>
      <c r="L1393" s="2405"/>
      <c r="M1393" s="2405"/>
      <c r="N1393" s="2932"/>
      <c r="O1393" s="2311" t="str">
        <f>'Part VIII Scoring Criteria'!O242</f>
        <v>Yes</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6860</v>
      </c>
      <c r="D1394" s="2405"/>
      <c r="E1394" s="2405"/>
      <c r="F1394" s="2405"/>
      <c r="G1394" s="2405"/>
      <c r="H1394" s="2405"/>
      <c r="I1394" s="2405"/>
      <c r="J1394" s="2405"/>
      <c r="K1394" s="2405"/>
      <c r="L1394" s="2405"/>
      <c r="M1394" s="2405"/>
      <c r="N1394" s="2932"/>
      <c r="O1394" s="2311" t="str">
        <f>'Part VIII Scoring Criteria'!O243</f>
        <v>Yes</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5">
      <c r="A1395" s="2499" t="s">
        <v>1843</v>
      </c>
      <c r="B1395" s="2983" t="s">
        <v>6579</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5">
      <c r="A1396" s="2499"/>
      <c r="B1396" s="2983"/>
      <c r="C1396" s="2199" t="s">
        <v>6861</v>
      </c>
      <c r="D1396" s="2403"/>
      <c r="E1396" s="2396"/>
      <c r="F1396" s="2396"/>
      <c r="G1396" s="2396"/>
      <c r="H1396" s="2396"/>
      <c r="I1396" s="2396"/>
      <c r="J1396" s="2396"/>
      <c r="K1396" s="2396"/>
      <c r="L1396" s="2403"/>
      <c r="M1396" s="2341"/>
      <c r="N1396" s="2467"/>
      <c r="O1396" s="2311">
        <f>'Part VIII Scoring Criteria'!O245</f>
        <v>0</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7028</v>
      </c>
      <c r="D1397" s="2405"/>
      <c r="E1397" s="2405"/>
      <c r="F1397" s="2405"/>
      <c r="G1397" s="2405"/>
      <c r="H1397" s="2405"/>
      <c r="I1397" s="2405"/>
      <c r="J1397" s="2405"/>
      <c r="K1397" s="2405"/>
      <c r="L1397" s="2405"/>
      <c r="M1397" s="2405"/>
      <c r="N1397" s="2932"/>
      <c r="O1397" s="2311">
        <f>'Part VIII Scoring Criteria'!O246</f>
        <v>0</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5">
      <c r="A1398" s="2199"/>
      <c r="B1398" s="2464" t="s">
        <v>3240</v>
      </c>
      <c r="C1398" s="2199"/>
      <c r="D1398" s="2199"/>
      <c r="E1398" s="2199"/>
      <c r="F1398" s="2199"/>
      <c r="G1398" s="2199"/>
      <c r="H1398" s="2199"/>
      <c r="I1398" s="2199"/>
      <c r="J1398" s="2199"/>
      <c r="K1398" s="2199"/>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409.5">
      <c r="A1399" s="2405" t="str">
        <f>'Part VIII Scoring Criteria'!A248</f>
        <v>Project is claiming points in QAP section XVII Minority and Women-Owner Business Engagement under sub-section A. The applicant has a policy that is shared with it's General Contracting team to advertise to potential MBE/WBE businesses, and will submit a report detailing our efforts to achieve this commitment with the Final Allocation Application.</v>
      </c>
      <c r="B1399" s="2405"/>
      <c r="C1399" s="2405"/>
      <c r="D1399" s="2405"/>
      <c r="E1399" s="2405"/>
      <c r="F1399" s="2405"/>
      <c r="G1399" s="2405"/>
      <c r="H1399" s="2405"/>
      <c r="I1399" s="2405"/>
      <c r="J1399" s="2405"/>
      <c r="K1399" s="2405"/>
      <c r="L1399" s="2405"/>
      <c r="M1399" s="2405"/>
      <c r="N1399" s="2405"/>
      <c r="O1399" s="2405"/>
      <c r="P1399" s="2405"/>
      <c r="Q1399" s="2198"/>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5">
      <c r="A1400" s="2199"/>
      <c r="B1400" s="2935" t="s">
        <v>1730</v>
      </c>
      <c r="C1400" s="2199"/>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5">
      <c r="A1401" s="2405"/>
      <c r="B1401" s="2405"/>
      <c r="C1401" s="2405"/>
      <c r="D1401" s="2405"/>
      <c r="E1401" s="2405"/>
      <c r="F1401" s="2405"/>
      <c r="G1401" s="2405"/>
      <c r="H1401" s="2405"/>
      <c r="I1401" s="2405"/>
      <c r="J1401" s="2405"/>
      <c r="K1401" s="2405"/>
      <c r="L1401" s="2405"/>
      <c r="M1401" s="2405"/>
      <c r="N1401" s="2405"/>
      <c r="O1401" s="2405"/>
      <c r="P1401" s="2405"/>
      <c r="Q1401" s="2198"/>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5">
      <c r="A1402" s="2199"/>
      <c r="B1402" s="2396"/>
      <c r="C1402" s="2396"/>
      <c r="D1402" s="2199"/>
      <c r="E1402" s="2199"/>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5">
      <c r="A1403" s="2199"/>
      <c r="B1403" s="2396"/>
      <c r="C1403" s="2396"/>
      <c r="D1403" s="2199"/>
      <c r="E1403" s="2199"/>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5">
      <c r="A1404" s="2463" t="s">
        <v>3368</v>
      </c>
      <c r="B1404" s="2464" t="s">
        <v>6583</v>
      </c>
      <c r="C1404" s="2199"/>
      <c r="D1404" s="2464"/>
      <c r="E1404" s="2464"/>
      <c r="F1404" s="2199"/>
      <c r="G1404" s="2982"/>
      <c r="H1404" s="2199"/>
      <c r="I1404" s="2199"/>
      <c r="J1404" s="2199"/>
      <c r="K1404" s="2199"/>
      <c r="L1404" s="2199"/>
      <c r="M1404" s="2499">
        <v>2</v>
      </c>
      <c r="N1404" s="2311"/>
      <c r="O1404" s="2395">
        <f>'Part VIII Scoring Criteria'!O253</f>
        <v>2</v>
      </c>
      <c r="P1404" s="2395">
        <f>'Part VIII Scoring Criteria'!P253</f>
        <v>0</v>
      </c>
      <c r="Q1404" s="2499" t="s">
        <v>416</v>
      </c>
      <c r="R1404" s="2462"/>
      <c r="S1404" s="2462"/>
      <c r="T1404" s="2462"/>
      <c r="U1404" s="2462"/>
      <c r="V1404" s="2462"/>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499" t="s">
        <v>1841</v>
      </c>
      <c r="B1405" s="2983" t="s">
        <v>6584</v>
      </c>
      <c r="C1405" s="2396"/>
      <c r="D1405" s="2403"/>
      <c r="E1405" s="2403" t="s">
        <v>6595</v>
      </c>
      <c r="F1405" s="2403"/>
      <c r="G1405" s="2403"/>
      <c r="H1405" s="2403"/>
      <c r="I1405" s="2396">
        <f>'Part VIII Scoring Criteria'!I254</f>
        <v>0</v>
      </c>
      <c r="J1405" s="2396"/>
      <c r="K1405" s="2396"/>
      <c r="L1405" s="2396"/>
      <c r="M1405" s="2341">
        <v>2</v>
      </c>
      <c r="N1405" s="2467"/>
      <c r="O1405" s="2395">
        <f>'Part VIII Scoring Criteria'!O254</f>
        <v>0</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5">
      <c r="A1406" s="2499" t="s">
        <v>1843</v>
      </c>
      <c r="B1406" s="2983" t="s">
        <v>6585</v>
      </c>
      <c r="C1406" s="2396"/>
      <c r="D1406" s="2403"/>
      <c r="E1406" s="2396"/>
      <c r="F1406" s="2396"/>
      <c r="G1406" s="2396"/>
      <c r="H1406" s="2396"/>
      <c r="I1406" s="2396"/>
      <c r="J1406" s="2396"/>
      <c r="K1406" s="2396"/>
      <c r="L1406" s="2403"/>
      <c r="M1406" s="2341">
        <v>2</v>
      </c>
      <c r="N1406" s="2467"/>
      <c r="O1406" s="2395">
        <f>'Part VIII Scoring Criteria'!O255</f>
        <v>2</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5">
      <c r="A1407" s="2199"/>
      <c r="B1407" s="2464" t="s">
        <v>3240</v>
      </c>
      <c r="C1407" s="2199"/>
      <c r="D1407" s="2199"/>
      <c r="E1407" s="2199"/>
      <c r="F1407" s="2199"/>
      <c r="G1407" s="2199"/>
      <c r="H1407" s="2199"/>
      <c r="I1407" s="2199"/>
      <c r="J1407" s="2199"/>
      <c r="K1407" s="2199"/>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409.5">
      <c r="A1408" s="2405" t="str">
        <f>'Part VIII Scoring Criteria'!A257</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B1408" s="2405"/>
      <c r="C1408" s="2405"/>
      <c r="D1408" s="2405"/>
      <c r="E1408" s="2405"/>
      <c r="F1408" s="2405"/>
      <c r="G1408" s="2405"/>
      <c r="H1408" s="2405"/>
      <c r="I1408" s="2405"/>
      <c r="J1408" s="2405"/>
      <c r="K1408" s="2405"/>
      <c r="L1408" s="2405"/>
      <c r="M1408" s="2405"/>
      <c r="N1408" s="2405"/>
      <c r="O1408" s="2405"/>
      <c r="P1408" s="2405"/>
      <c r="Q1408" s="2198"/>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5">
      <c r="A1409" s="2199"/>
      <c r="B1409" s="2935" t="s">
        <v>1730</v>
      </c>
      <c r="C1409" s="2199"/>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5">
      <c r="A1410" s="2405"/>
      <c r="B1410" s="2405"/>
      <c r="C1410" s="2405"/>
      <c r="D1410" s="2405"/>
      <c r="E1410" s="2405"/>
      <c r="F1410" s="2405"/>
      <c r="G1410" s="2405"/>
      <c r="H1410" s="2405"/>
      <c r="I1410" s="2405"/>
      <c r="J1410" s="2405"/>
      <c r="K1410" s="2405"/>
      <c r="L1410" s="2405"/>
      <c r="M1410" s="2405"/>
      <c r="N1410" s="2405"/>
      <c r="O1410" s="2405"/>
      <c r="P1410" s="2405"/>
      <c r="Q1410" s="2198"/>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5">
      <c r="A1411" s="2199"/>
      <c r="B1411" s="2396"/>
      <c r="C1411" s="2396"/>
      <c r="D1411" s="2199"/>
      <c r="E1411" s="2199"/>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5">
      <c r="A1412" s="2199"/>
      <c r="B1412" s="2396"/>
      <c r="C1412" s="2396"/>
      <c r="D1412" s="2199"/>
      <c r="E1412" s="2199"/>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5">
      <c r="A1413" s="2981" t="s">
        <v>3371</v>
      </c>
      <c r="B1413" s="2464" t="s">
        <v>3342</v>
      </c>
      <c r="C1413" s="2404"/>
      <c r="D1413" s="2396"/>
      <c r="E1413" s="2199"/>
      <c r="F1413" s="2396"/>
      <c r="G1413" s="2396"/>
      <c r="H1413" s="2396"/>
      <c r="I1413" s="2396"/>
      <c r="J1413" s="2396"/>
      <c r="K1413" s="2199"/>
      <c r="L1413" s="2199"/>
      <c r="M1413" s="2499">
        <v>2</v>
      </c>
      <c r="N1413" s="2311"/>
      <c r="O1413" s="2395"/>
      <c r="P1413" s="2395">
        <f>'Part VIII Scoring Criteria'!P262</f>
        <v>0</v>
      </c>
      <c r="Q1413" s="2499" t="s">
        <v>416</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5">
      <c r="A1414" s="2499" t="s">
        <v>1841</v>
      </c>
      <c r="B1414" s="2198" t="s">
        <v>3343</v>
      </c>
      <c r="C1414" s="2404"/>
      <c r="D1414" s="2396"/>
      <c r="E1414" s="2199"/>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5">
      <c r="A1415" s="2499"/>
      <c r="B1415" s="2199" t="s">
        <v>6900</v>
      </c>
      <c r="C1415" s="2199"/>
      <c r="D1415" s="2199"/>
      <c r="E1415" s="2199"/>
      <c r="F1415" s="2199"/>
      <c r="G1415" s="2199"/>
      <c r="H1415" s="2199"/>
      <c r="I1415" s="2199"/>
      <c r="J1415" s="2199"/>
      <c r="K1415" s="2199"/>
      <c r="L1415" s="2199"/>
      <c r="M1415" s="2199"/>
      <c r="N1415" s="2910"/>
      <c r="O1415" s="2311">
        <f>'Part VIII Scoring Criteria'!O264</f>
        <v>0</v>
      </c>
      <c r="P1415" s="2499"/>
      <c r="Q1415" s="2199"/>
      <c r="R1415" s="2927"/>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499" t="s">
        <v>1843</v>
      </c>
      <c r="B1416" s="2198" t="s">
        <v>3344</v>
      </c>
      <c r="C1416" s="2404"/>
      <c r="D1416" s="2396"/>
      <c r="E1416" s="2199"/>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5">
      <c r="A1417" s="2981"/>
      <c r="B1417" s="2199" t="s">
        <v>6900</v>
      </c>
      <c r="C1417" s="2199"/>
      <c r="D1417" s="2199"/>
      <c r="E1417" s="2199"/>
      <c r="F1417" s="2199"/>
      <c r="G1417" s="2199"/>
      <c r="H1417" s="2199"/>
      <c r="I1417" s="2199"/>
      <c r="J1417" s="2199"/>
      <c r="K1417" s="2199"/>
      <c r="L1417" s="2199"/>
      <c r="M1417" s="2499"/>
      <c r="N1417" s="2910"/>
      <c r="O1417" s="2311">
        <f>'Part VIII Scoring Criteria'!O266</f>
        <v>0</v>
      </c>
      <c r="P1417" s="2499"/>
      <c r="Q1417" s="2499"/>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6"/>
      <c r="B1418" s="2935" t="s">
        <v>1730</v>
      </c>
      <c r="C1418" s="2199"/>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5">
      <c r="A1419" s="2405"/>
      <c r="B1419" s="2405"/>
      <c r="C1419" s="2405"/>
      <c r="D1419" s="2405"/>
      <c r="E1419" s="2405"/>
      <c r="F1419" s="2405"/>
      <c r="G1419" s="2405"/>
      <c r="H1419" s="2405"/>
      <c r="I1419" s="2405"/>
      <c r="J1419" s="2405"/>
      <c r="K1419" s="2405"/>
      <c r="L1419" s="2405"/>
      <c r="M1419" s="2405"/>
      <c r="N1419" s="2405"/>
      <c r="O1419" s="2405"/>
      <c r="P1419" s="2405"/>
      <c r="Q1419" s="2198"/>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5">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5">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5">
      <c r="A1422" s="2981" t="s">
        <v>3372</v>
      </c>
      <c r="B1422" s="2464" t="s">
        <v>1555</v>
      </c>
      <c r="C1422" s="2396"/>
      <c r="D1422" s="2404"/>
      <c r="E1422" s="2404"/>
      <c r="F1422" s="2396"/>
      <c r="G1422" s="2199"/>
      <c r="H1422" s="2396"/>
      <c r="I1422" s="2396"/>
      <c r="J1422" s="2396"/>
      <c r="K1422" s="2396"/>
      <c r="L1422" s="2396"/>
      <c r="M1422" s="2499">
        <v>2</v>
      </c>
      <c r="N1422" s="2927"/>
      <c r="O1422" s="2395">
        <f>'Part VIII Scoring Criteria'!O271</f>
        <v>0</v>
      </c>
      <c r="P1422" s="2395">
        <f>'Part VIII Scoring Criteria'!P271</f>
        <v>0</v>
      </c>
      <c r="Q1422" s="2499" t="s">
        <v>416</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5">
      <c r="A1423" s="2539"/>
      <c r="B1423" s="2928" t="s">
        <v>3153</v>
      </c>
      <c r="C1423" s="2396"/>
      <c r="D1423" s="2404"/>
      <c r="E1423" s="2404"/>
      <c r="F1423" s="2396"/>
      <c r="G1423" s="2199"/>
      <c r="H1423" s="2396"/>
      <c r="I1423" s="2199" t="str">
        <f>'Part VIII Scoring Criteria'!I272</f>
        <v>Enter GICH Community Name</v>
      </c>
      <c r="J1423" s="2199"/>
      <c r="K1423" s="2199"/>
      <c r="L1423" s="2199"/>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5">
      <c r="A1424" s="2396"/>
      <c r="B1424" s="2928"/>
      <c r="C1424" s="2396"/>
      <c r="D1424" s="2199"/>
      <c r="E1424" s="2199"/>
      <c r="F1424" s="2199"/>
      <c r="G1424" s="2199"/>
      <c r="H1424" s="2199"/>
      <c r="I1424" s="2199"/>
      <c r="J1424" s="2199"/>
      <c r="K1424" s="2199"/>
      <c r="L1424" s="2199"/>
      <c r="M1424" s="2199"/>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5">
      <c r="A1425" s="2199"/>
      <c r="B1425" s="2464" t="s">
        <v>3240</v>
      </c>
      <c r="C1425" s="2199"/>
      <c r="D1425" s="2199"/>
      <c r="E1425" s="2199"/>
      <c r="F1425" s="2199"/>
      <c r="G1425" s="2199"/>
      <c r="H1425" s="2199"/>
      <c r="I1425" s="2199"/>
      <c r="J1425" s="2199"/>
      <c r="K1425" s="2199"/>
      <c r="L1425" s="2199"/>
      <c r="M1425" s="2311"/>
      <c r="N1425" s="2311"/>
      <c r="O1425" s="2395"/>
      <c r="P1425" s="2499"/>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2.75">
      <c r="A1426" s="2405" t="str">
        <f>'Part VIII Scoring Criteria'!A275</f>
        <v>This section is NA</v>
      </c>
      <c r="B1426" s="2405"/>
      <c r="C1426" s="2405"/>
      <c r="D1426" s="2405"/>
      <c r="E1426" s="2405"/>
      <c r="F1426" s="2405"/>
      <c r="G1426" s="2405"/>
      <c r="H1426" s="2405"/>
      <c r="I1426" s="2405"/>
      <c r="J1426" s="2405"/>
      <c r="K1426" s="2405"/>
      <c r="L1426" s="2405"/>
      <c r="M1426" s="2405"/>
      <c r="N1426" s="2405"/>
      <c r="O1426" s="2405"/>
      <c r="P1426" s="2405"/>
      <c r="Q1426" s="2198"/>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5">
      <c r="A1427" s="2199"/>
      <c r="B1427" s="2909" t="s">
        <v>1730</v>
      </c>
      <c r="C1427" s="2199"/>
      <c r="D1427" s="2909"/>
      <c r="E1427" s="2957"/>
      <c r="F1427" s="2957"/>
      <c r="G1427" s="2957"/>
      <c r="H1427" s="2957"/>
      <c r="I1427" s="2957"/>
      <c r="J1427" s="2957"/>
      <c r="K1427" s="2957"/>
      <c r="L1427" s="2957"/>
      <c r="M1427" s="2957"/>
      <c r="N1427" s="2958"/>
      <c r="O1427" s="2903"/>
      <c r="P1427" s="2499"/>
      <c r="Q1427" s="2396"/>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5"/>
      <c r="B1428" s="2405"/>
      <c r="C1428" s="2405"/>
      <c r="D1428" s="2405"/>
      <c r="E1428" s="2405"/>
      <c r="F1428" s="2405"/>
      <c r="G1428" s="2405"/>
      <c r="H1428" s="2405"/>
      <c r="I1428" s="2405"/>
      <c r="J1428" s="2405"/>
      <c r="K1428" s="2405"/>
      <c r="L1428" s="2405"/>
      <c r="M1428" s="2405"/>
      <c r="N1428" s="2405"/>
      <c r="O1428" s="2405"/>
      <c r="P1428" s="2405"/>
      <c r="Q1428" s="2198"/>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5">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5">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5">
      <c r="A1431" s="2463" t="s">
        <v>3375</v>
      </c>
      <c r="B1431" s="2464" t="s">
        <v>3346</v>
      </c>
      <c r="C1431" s="2396"/>
      <c r="D1431" s="2404"/>
      <c r="E1431" s="2404"/>
      <c r="F1431" s="2199"/>
      <c r="G1431" s="2199"/>
      <c r="H1431" s="2199"/>
      <c r="I1431" s="2396"/>
      <c r="J1431" s="2984"/>
      <c r="K1431" s="2499"/>
      <c r="L1431" s="2396"/>
      <c r="M1431" s="2395">
        <v>4</v>
      </c>
      <c r="N1431" s="2311"/>
      <c r="O1431" s="2395">
        <f>'Part VIII Scoring Criteria'!O280</f>
        <v>0</v>
      </c>
      <c r="P1431" s="2395">
        <f>'Part VIII Scoring Criteria'!P280</f>
        <v>0</v>
      </c>
      <c r="Q1431" s="2499" t="s">
        <v>416</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5">
      <c r="A1432" s="2966" t="s">
        <v>1841</v>
      </c>
      <c r="B1432" s="2198" t="s">
        <v>3347</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0</v>
      </c>
      <c r="P1432" s="2395"/>
      <c r="Q1432" s="2968" t="str">
        <f>IF(O1432&lt;=M1432,"","*CHECK!*")</f>
        <v/>
      </c>
      <c r="R1432" s="2198"/>
      <c r="S1432" s="2198"/>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6862</v>
      </c>
      <c r="C1433" s="2990"/>
      <c r="D1433" s="2990"/>
      <c r="E1433" s="2990"/>
      <c r="F1433" s="2990"/>
      <c r="G1433" s="2990"/>
      <c r="H1433" s="2990"/>
      <c r="I1433" s="2990"/>
      <c r="J1433" s="2990"/>
      <c r="K1433" s="2990"/>
      <c r="L1433" s="2990"/>
      <c r="M1433" s="2396"/>
      <c r="N1433" s="2396"/>
      <c r="O1433" s="2311">
        <f>'Part VIII Scoring Criteria'!O282</f>
        <v>0</v>
      </c>
      <c r="P1433" s="2499"/>
      <c r="Q1433" s="2396"/>
      <c r="R1433" s="2198"/>
      <c r="S1433" s="2198"/>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5">
      <c r="A1434" s="2966"/>
      <c r="B1434" s="2991"/>
      <c r="C1434" s="2402"/>
      <c r="D1434" s="2402"/>
      <c r="E1434" s="2402"/>
      <c r="F1434" s="2402"/>
      <c r="G1434" s="2402"/>
      <c r="H1434" s="2402"/>
      <c r="I1434" s="2402"/>
      <c r="J1434" s="2976" t="s">
        <v>1848</v>
      </c>
      <c r="K1434" s="2976"/>
      <c r="L1434" s="2396"/>
      <c r="M1434" s="2976" t="s">
        <v>1848</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4.25">
      <c r="A1435" s="2467"/>
      <c r="B1435" s="2932" t="s">
        <v>1844</v>
      </c>
      <c r="C1435" s="2199" t="s">
        <v>1388</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4.25">
      <c r="A1436" s="2925"/>
      <c r="B1436" s="2919" t="s">
        <v>1846</v>
      </c>
      <c r="C1436" s="2199" t="s">
        <v>3155</v>
      </c>
      <c r="D1436" s="2396"/>
      <c r="E1436" s="2396"/>
      <c r="F1436" s="2396"/>
      <c r="G1436" s="2396"/>
      <c r="H1436" s="2396"/>
      <c r="I1436" s="2934"/>
      <c r="J1436" s="2993">
        <f>'Part VIII Scoring Criteria'!J285</f>
        <v>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4.25">
      <c r="A1437" s="2396"/>
      <c r="B1437" s="2932" t="s">
        <v>2332</v>
      </c>
      <c r="C1437" s="2199" t="s">
        <v>3953</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4.25">
      <c r="A1438" s="2925"/>
      <c r="B1438" s="2932" t="s">
        <v>1150</v>
      </c>
      <c r="C1438" s="2199" t="s">
        <v>3071</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4.25">
      <c r="A1439" s="2467"/>
      <c r="B1439" s="2919" t="s">
        <v>1151</v>
      </c>
      <c r="C1439" s="2199" t="s">
        <v>2473</v>
      </c>
      <c r="D1439" s="2396"/>
      <c r="E1439" s="2396"/>
      <c r="F1439" s="2396"/>
      <c r="G1439" s="2396"/>
      <c r="H1439" s="2396"/>
      <c r="I1439" s="2934"/>
      <c r="J1439" s="2993">
        <f>'Part VIII Scoring Criteria'!J288</f>
        <v>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4.25">
      <c r="A1440" s="2396"/>
      <c r="B1440" s="2932" t="s">
        <v>1742</v>
      </c>
      <c r="C1440" s="2199" t="s">
        <v>1387</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4.25">
      <c r="A1441" s="2396"/>
      <c r="B1441" s="2932" t="s">
        <v>473</v>
      </c>
      <c r="C1441" s="2199" t="s">
        <v>6232</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4.25">
      <c r="A1442" s="2925"/>
      <c r="B1442" s="2932" t="s">
        <v>474</v>
      </c>
      <c r="C1442" s="2199" t="s">
        <v>3154</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4.25">
      <c r="A1443" s="2396"/>
      <c r="B1443" s="2932" t="s">
        <v>3888</v>
      </c>
      <c r="C1443" s="2199" t="s">
        <v>6863</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4.25">
      <c r="A1444" s="2396"/>
      <c r="B1444" s="2932" t="s">
        <v>6864</v>
      </c>
      <c r="C1444" s="2199" t="s">
        <v>6901</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4.25">
      <c r="A1445" s="2396"/>
      <c r="B1445" s="2932" t="s">
        <v>6865</v>
      </c>
      <c r="C1445" s="2199" t="s">
        <v>6902</v>
      </c>
      <c r="D1445" s="2396"/>
      <c r="E1445" s="2396"/>
      <c r="F1445" s="2396"/>
      <c r="G1445" s="2396"/>
      <c r="H1445" s="2396"/>
      <c r="I1445" s="2467"/>
      <c r="J1445" s="2993">
        <f>'Part VIII Scoring Criteria'!J294</f>
        <v>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5">
      <c r="A1446" s="2396"/>
      <c r="B1446" s="2199"/>
      <c r="C1446" s="2396"/>
      <c r="D1446" s="2396"/>
      <c r="E1446" s="2396"/>
      <c r="F1446" s="2396"/>
      <c r="G1446" s="2396"/>
      <c r="H1446" s="2396"/>
      <c r="I1446" s="2539" t="s">
        <v>2413</v>
      </c>
      <c r="J1446" s="2993">
        <f>SUM(J1435:K1445)</f>
        <v>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5">
      <c r="A1447" s="2396"/>
      <c r="B1447" s="2396"/>
      <c r="C1447" s="2396"/>
      <c r="D1447" s="2396"/>
      <c r="E1447" s="2396"/>
      <c r="F1447" s="2396"/>
      <c r="G1447" s="2396"/>
      <c r="H1447" s="2396"/>
      <c r="I1447" s="2396"/>
      <c r="J1447" s="2396"/>
      <c r="K1447" s="2396"/>
      <c r="L1447" s="2396"/>
      <c r="M1447" s="2198"/>
      <c r="N1447" s="2198"/>
      <c r="O1447" s="2396"/>
      <c r="P1447" s="2198"/>
      <c r="Q1447" s="2396"/>
      <c r="R1447" s="2396"/>
      <c r="S1447" s="2396"/>
      <c r="T1447" s="2396"/>
      <c r="U1447" s="2396" t="s">
        <v>6907</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5">
      <c r="A1448" s="2199"/>
      <c r="B1448" s="2930"/>
      <c r="C1448" s="2404" t="s">
        <v>2412</v>
      </c>
      <c r="D1448" s="2437"/>
      <c r="E1448" s="2437"/>
      <c r="F1448" s="2396"/>
      <c r="G1448" s="2396"/>
      <c r="H1448" s="2396"/>
      <c r="I1448" s="2467" t="s">
        <v>6235</v>
      </c>
      <c r="J1448" s="2993">
        <f>'Part V-Revenues &amp; Expenses'!$P$67</f>
        <v>90</v>
      </c>
      <c r="K1448" s="2993"/>
      <c r="L1448" s="2198"/>
      <c r="M1448" s="2198"/>
      <c r="N1448" s="2198"/>
      <c r="O1448" s="2396"/>
      <c r="P1448" s="2198"/>
      <c r="Q1448" s="2396"/>
      <c r="R1448" s="2396"/>
      <c r="S1448" s="2396"/>
      <c r="T1448" s="2396"/>
      <c r="U1448" s="2994" t="s">
        <v>6905</v>
      </c>
      <c r="V1448" s="2994" t="s">
        <v>6906</v>
      </c>
      <c r="W1448" s="2994" t="s">
        <v>6905</v>
      </c>
      <c r="X1448" s="2994" t="s">
        <v>6906</v>
      </c>
      <c r="Y1448" s="2994" t="s">
        <v>6905</v>
      </c>
      <c r="Z1448" s="2994" t="s">
        <v>6906</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4.25">
      <c r="A1449" s="2396"/>
      <c r="B1449" s="2396"/>
      <c r="C1449" s="2437"/>
      <c r="D1449" s="2437"/>
      <c r="E1449" s="2437"/>
      <c r="F1449" s="2396"/>
      <c r="G1449" s="2396"/>
      <c r="H1449" s="2396"/>
      <c r="I1449" s="2925" t="s">
        <v>6236</v>
      </c>
      <c r="J1449" s="2995">
        <f>IF(J1448=0,0,J1446/J1448)</f>
        <v>0</v>
      </c>
      <c r="K1449" s="2995"/>
      <c r="L1449" s="2396"/>
      <c r="M1449" s="2995">
        <f>IF(J1448=0,0,M1446/J1448)</f>
        <v>0</v>
      </c>
      <c r="N1449" s="2995"/>
      <c r="O1449" s="2995"/>
      <c r="P1449" s="2995"/>
      <c r="Q1449" s="2396"/>
      <c r="R1449" s="2396"/>
      <c r="S1449" s="2996" t="s">
        <v>6903</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4.25">
      <c r="A1450" s="2396"/>
      <c r="B1450" s="2396"/>
      <c r="C1450" s="2437"/>
      <c r="D1450" s="2437"/>
      <c r="E1450" s="2437"/>
      <c r="F1450" s="2396"/>
      <c r="G1450" s="2396"/>
      <c r="H1450" s="2396"/>
      <c r="I1450" s="2925" t="s">
        <v>6866</v>
      </c>
      <c r="J1450" s="2995">
        <f>'Part VIII Scoring Criteria'!J299</f>
        <v>0</v>
      </c>
      <c r="K1450" s="2995"/>
      <c r="L1450" s="2396"/>
      <c r="M1450" s="2995">
        <f>'Part VIII Scoring Criteria'!M299</f>
        <v>0</v>
      </c>
      <c r="N1450" s="2995"/>
      <c r="O1450" s="2995">
        <f t="shared" ref="O1450" si="403">IF(O1446&gt;=$Y$295,$Y$297,IF(O1446&gt;=$W$295,$W$297,IF(O1446&gt;=$U$295,$U$297,0)))</f>
        <v>0</v>
      </c>
      <c r="P1450" s="2995"/>
      <c r="Q1450" s="2396"/>
      <c r="R1450" s="2396"/>
      <c r="S1450" s="2996" t="s">
        <v>6904</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5">
      <c r="A1451" s="2396"/>
      <c r="B1451" s="2396"/>
      <c r="C1451" s="2437"/>
      <c r="D1451" s="2437"/>
      <c r="E1451" s="2437"/>
      <c r="F1451" s="2396"/>
      <c r="G1451" s="2396"/>
      <c r="H1451" s="2396"/>
      <c r="I1451" s="2925" t="s">
        <v>6237</v>
      </c>
      <c r="J1451" s="2999">
        <f>'Part VIII Scoring Criteria'!J300</f>
        <v>0</v>
      </c>
      <c r="K1451" s="2999"/>
      <c r="L1451" s="2198"/>
      <c r="M1451" s="2999">
        <f>'Part VIII Scoring Criteria'!M300</f>
        <v>0</v>
      </c>
      <c r="N1451" s="2999"/>
      <c r="O1451" s="2999"/>
      <c r="P1451" s="2999"/>
      <c r="Q1451" s="2396"/>
      <c r="R1451" s="2396"/>
      <c r="S1451" s="2996" t="s">
        <v>6144</v>
      </c>
      <c r="T1451" s="2396"/>
      <c r="U1451" s="2199">
        <v>1</v>
      </c>
      <c r="V1451" s="2199"/>
      <c r="W1451" s="2199">
        <v>2</v>
      </c>
      <c r="X1451" s="2199"/>
      <c r="Y1451" s="2199">
        <v>3</v>
      </c>
      <c r="Z1451" s="2199"/>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5">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5">
      <c r="A1453" s="2499" t="s">
        <v>1843</v>
      </c>
      <c r="B1453" s="2928" t="s">
        <v>3157</v>
      </c>
      <c r="C1453" s="2199"/>
      <c r="D1453" s="2199"/>
      <c r="E1453" s="2199"/>
      <c r="F1453" s="2499"/>
      <c r="G1453" s="2199"/>
      <c r="H1453" s="2199"/>
      <c r="I1453" s="2499"/>
      <c r="J1453" s="2399"/>
      <c r="K1453" s="2399"/>
      <c r="L1453" s="2927" t="str">
        <f>IF(OR($O1453=$M1453,$O1453=0,$O1453=""),"","* * Check Score! * *")</f>
        <v/>
      </c>
      <c r="M1453" s="2311">
        <v>1</v>
      </c>
      <c r="N1453" s="2467"/>
      <c r="O1453" s="2395">
        <f>'Part VIII Scoring Criteria'!O302</f>
        <v>0</v>
      </c>
      <c r="P1453" s="2395"/>
      <c r="Q1453" s="2928"/>
      <c r="R1453" s="2199"/>
      <c r="S1453" s="2199"/>
      <c r="T1453" s="2199"/>
      <c r="U1453" s="2199"/>
      <c r="V1453" s="2986"/>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39"/>
      <c r="B1454" s="2949"/>
      <c r="C1454" s="2405" t="s">
        <v>6867</v>
      </c>
      <c r="D1454" s="2405"/>
      <c r="E1454" s="2405"/>
      <c r="F1454" s="2405"/>
      <c r="G1454" s="2405"/>
      <c r="H1454" s="2405"/>
      <c r="I1454" s="2405"/>
      <c r="J1454" s="2405"/>
      <c r="K1454" s="2405"/>
      <c r="L1454" s="2405"/>
      <c r="M1454" s="2405"/>
      <c r="N1454" s="2950"/>
      <c r="O1454" s="2311">
        <f>'Part VIII Scoring Criteria'!O303</f>
        <v>0</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5">
      <c r="A1455" s="2539"/>
      <c r="B1455" s="2966"/>
      <c r="C1455" s="2199" t="s">
        <v>6868</v>
      </c>
      <c r="D1455" s="2199"/>
      <c r="E1455" s="2199"/>
      <c r="F1455" s="2199"/>
      <c r="G1455" s="2199"/>
      <c r="H1455" s="2199"/>
      <c r="I1455" s="2199"/>
      <c r="J1455" s="2199"/>
      <c r="K1455" s="2199"/>
      <c r="L1455" s="2396"/>
      <c r="M1455" s="2199"/>
      <c r="N1455" s="2910"/>
      <c r="O1455" s="2311">
        <f>'Part VIII Scoring Criteria'!O304</f>
        <v>0</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5">
      <c r="A1456" s="2396"/>
      <c r="B1456" s="2966"/>
      <c r="C1456" s="2396" t="s">
        <v>6869</v>
      </c>
      <c r="D1456" s="2396"/>
      <c r="E1456" s="2396"/>
      <c r="F1456" s="2396"/>
      <c r="G1456" s="2396"/>
      <c r="H1456" s="2396"/>
      <c r="I1456" s="2396"/>
      <c r="J1456" s="2396"/>
      <c r="K1456" s="2396"/>
      <c r="L1456" s="2396"/>
      <c r="M1456" s="2396"/>
      <c r="N1456" s="2910"/>
      <c r="O1456" s="2311">
        <f>'Part VIII Scoring Criteria'!O305</f>
        <v>0</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5">
      <c r="A1457" s="2396"/>
      <c r="B1457" s="2464" t="s">
        <v>3240</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42.75">
      <c r="A1458" s="2405" t="str">
        <f>'Part VIII Scoring Criteria'!A307</f>
        <v>This section is NA</v>
      </c>
      <c r="B1458" s="2405"/>
      <c r="C1458" s="2405"/>
      <c r="D1458" s="2405"/>
      <c r="E1458" s="2405"/>
      <c r="F1458" s="2405"/>
      <c r="G1458" s="2405"/>
      <c r="H1458" s="2405"/>
      <c r="I1458" s="2405"/>
      <c r="J1458" s="2405"/>
      <c r="K1458" s="2405"/>
      <c r="L1458" s="2405"/>
      <c r="M1458" s="2405"/>
      <c r="N1458" s="2405"/>
      <c r="O1458" s="2405"/>
      <c r="P1458" s="2405"/>
      <c r="Q1458" s="2198"/>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5">
      <c r="A1459" s="2199"/>
      <c r="B1459" s="2909" t="s">
        <v>1730</v>
      </c>
      <c r="C1459" s="2199"/>
      <c r="D1459" s="2909"/>
      <c r="E1459" s="2957"/>
      <c r="F1459" s="2957"/>
      <c r="G1459" s="2957"/>
      <c r="H1459" s="2957"/>
      <c r="I1459" s="2957"/>
      <c r="J1459" s="2957"/>
      <c r="K1459" s="2957"/>
      <c r="L1459" s="2957"/>
      <c r="M1459" s="2957"/>
      <c r="N1459" s="2958"/>
      <c r="O1459" s="2903"/>
      <c r="P1459" s="2499"/>
      <c r="Q1459" s="2396"/>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5"/>
      <c r="B1460" s="2405"/>
      <c r="C1460" s="2405"/>
      <c r="D1460" s="2405"/>
      <c r="E1460" s="2405"/>
      <c r="F1460" s="2405"/>
      <c r="G1460" s="2405"/>
      <c r="H1460" s="2405"/>
      <c r="I1460" s="2405"/>
      <c r="J1460" s="2405"/>
      <c r="K1460" s="2405"/>
      <c r="L1460" s="2405"/>
      <c r="M1460" s="2405"/>
      <c r="N1460" s="2405"/>
      <c r="O1460" s="2405"/>
      <c r="P1460" s="2405"/>
      <c r="Q1460" s="2198"/>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5">
      <c r="A1461" s="2199"/>
      <c r="B1461" s="2199"/>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5">
      <c r="A1462" s="2199"/>
      <c r="B1462" s="2199"/>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5">
      <c r="A1463" s="2463" t="s">
        <v>3376</v>
      </c>
      <c r="B1463" s="2464" t="s">
        <v>2469</v>
      </c>
      <c r="C1463" s="2396"/>
      <c r="D1463" s="2399"/>
      <c r="E1463" s="2396"/>
      <c r="F1463" s="2396"/>
      <c r="G1463" s="2912"/>
      <c r="H1463" s="2912"/>
      <c r="I1463" s="2912"/>
      <c r="J1463" s="2912"/>
      <c r="K1463" s="2912"/>
      <c r="L1463" s="2912"/>
      <c r="M1463" s="2499">
        <v>2</v>
      </c>
      <c r="N1463" s="2467"/>
      <c r="O1463" s="2395">
        <f>'Part VIII Scoring Criteria'!O312</f>
        <v>0</v>
      </c>
      <c r="P1463" s="2395">
        <f>'Part VIII Scoring Criteria'!P312</f>
        <v>0</v>
      </c>
      <c r="Q1463" s="2499" t="s">
        <v>416</v>
      </c>
      <c r="R1463" s="2928" t="str">
        <f>IF(AND(O1463&gt;0,NOT($F$31="New Supply")), "Ineligible to score in this section, not New Supply!","")</f>
        <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4.25">
      <c r="A1464" s="2981"/>
      <c r="B1464" s="2402"/>
      <c r="C1464" s="2402"/>
      <c r="D1464" s="2402"/>
      <c r="E1464" s="2973" t="s">
        <v>3072</v>
      </c>
      <c r="F1464" s="2402"/>
      <c r="G1464" s="2199" t="str">
        <f>'Part VIII Scoring Criteria'!G313</f>
        <v>&lt;Select applicable status&gt;</v>
      </c>
      <c r="H1464" s="2199"/>
      <c r="I1464" s="2199"/>
      <c r="J1464" s="2199"/>
      <c r="K1464" s="2199"/>
      <c r="L1464" s="2199"/>
      <c r="M1464" s="2401"/>
      <c r="N1464" s="2401"/>
      <c r="O1464" s="2401"/>
      <c r="P1464" s="2401"/>
      <c r="Q1464" s="2199"/>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5">
      <c r="A1465" s="2920" t="s">
        <v>1841</v>
      </c>
      <c r="B1465" s="2198" t="s">
        <v>3954</v>
      </c>
      <c r="C1465" s="2402"/>
      <c r="D1465" s="2402"/>
      <c r="E1465" s="2402"/>
      <c r="F1465" s="2402"/>
      <c r="G1465" s="2402"/>
      <c r="H1465" s="2402"/>
      <c r="I1465" s="2402"/>
      <c r="J1465" s="2402"/>
      <c r="K1465" s="2402"/>
      <c r="L1465" s="2402"/>
      <c r="M1465" s="2401">
        <v>2</v>
      </c>
      <c r="N1465" s="2934"/>
      <c r="O1465" s="2395">
        <f>'Part VIII Scoring Criteria'!O314</f>
        <v>0</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&lt;&lt; Enter here Applicant's Narrative of how building will be reused. Adjust row height as needed. &gt;&gt;</v>
      </c>
      <c r="C1466" s="2405"/>
      <c r="D1466" s="2405"/>
      <c r="E1466" s="2405"/>
      <c r="F1466" s="2405"/>
      <c r="G1466" s="2405"/>
      <c r="H1466" s="2405"/>
      <c r="I1466" s="2405"/>
      <c r="J1466" s="2405"/>
      <c r="K1466" s="2405"/>
      <c r="L1466" s="2405"/>
      <c r="M1466" s="2405"/>
      <c r="N1466" s="2405"/>
      <c r="O1466" s="2405"/>
      <c r="P1466" s="2405"/>
      <c r="Q1466" s="2198"/>
      <c r="R1466" s="2198"/>
      <c r="S1466" s="2198"/>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5">
      <c r="A1467" s="3000" t="s">
        <v>1843</v>
      </c>
      <c r="B1467" s="2952" t="s">
        <v>3955</v>
      </c>
      <c r="C1467" s="2402"/>
      <c r="D1467" s="2402"/>
      <c r="E1467" s="2402"/>
      <c r="F1467" s="2402"/>
      <c r="G1467" s="2402"/>
      <c r="H1467" s="2402"/>
      <c r="I1467" s="2402"/>
      <c r="J1467" s="2402"/>
      <c r="K1467" s="2402"/>
      <c r="L1467" s="2402"/>
      <c r="M1467" s="2401">
        <v>2</v>
      </c>
      <c r="N1467" s="2934"/>
      <c r="O1467" s="2395">
        <f>'Part VIII Scoring Criteria'!O316</f>
        <v>0</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5">
      <c r="A1468" s="2199"/>
      <c r="B1468" s="2464" t="s">
        <v>3240</v>
      </c>
      <c r="C1468" s="2199"/>
      <c r="D1468" s="2199"/>
      <c r="E1468" s="2199"/>
      <c r="F1468" s="2199"/>
      <c r="G1468" s="2199"/>
      <c r="H1468" s="2199"/>
      <c r="I1468" s="2199"/>
      <c r="J1468" s="2199"/>
      <c r="K1468" s="2199"/>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42.75">
      <c r="A1469" s="2405" t="str">
        <f>'Part VIII Scoring Criteria'!A318</f>
        <v>This section is NA</v>
      </c>
      <c r="B1469" s="2405"/>
      <c r="C1469" s="2405"/>
      <c r="D1469" s="2405"/>
      <c r="E1469" s="2405"/>
      <c r="F1469" s="2405"/>
      <c r="G1469" s="2405"/>
      <c r="H1469" s="2405"/>
      <c r="I1469" s="2405"/>
      <c r="J1469" s="2405"/>
      <c r="K1469" s="2405"/>
      <c r="L1469" s="2405"/>
      <c r="M1469" s="2405"/>
      <c r="N1469" s="2405"/>
      <c r="O1469" s="2405"/>
      <c r="P1469" s="2405"/>
      <c r="Q1469" s="2198"/>
      <c r="R1469" s="2198"/>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5">
      <c r="A1470" s="2396"/>
      <c r="B1470" s="2935" t="s">
        <v>1730</v>
      </c>
      <c r="C1470" s="2199"/>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5">
      <c r="A1471" s="2405"/>
      <c r="B1471" s="2405"/>
      <c r="C1471" s="2405"/>
      <c r="D1471" s="2405"/>
      <c r="E1471" s="2405"/>
      <c r="F1471" s="2405"/>
      <c r="G1471" s="2405"/>
      <c r="H1471" s="2405"/>
      <c r="I1471" s="2405"/>
      <c r="J1471" s="2405"/>
      <c r="K1471" s="2405"/>
      <c r="L1471" s="2405"/>
      <c r="M1471" s="2405"/>
      <c r="N1471" s="2405"/>
      <c r="O1471" s="2405"/>
      <c r="P1471" s="2405"/>
      <c r="Q1471" s="2198"/>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5">
      <c r="A1472" s="2199"/>
      <c r="B1472" s="2199"/>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5">
      <c r="A1473" s="2199"/>
      <c r="B1473" s="2199"/>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5">
      <c r="A1474" s="2981" t="s">
        <v>3377</v>
      </c>
      <c r="B1474" s="2464" t="s">
        <v>4035</v>
      </c>
      <c r="C1474" s="2199"/>
      <c r="D1474" s="2464"/>
      <c r="E1474" s="2464"/>
      <c r="F1474" s="2199"/>
      <c r="G1474" s="2199"/>
      <c r="H1474" s="2199"/>
      <c r="I1474" s="2199"/>
      <c r="J1474" s="2199"/>
      <c r="K1474" s="2199"/>
      <c r="L1474" s="2927" t="str">
        <f>IF(OR($O1474=$M1474,$O1474&lt;=0,$O1474=""),"","* * Check Score! * *")</f>
        <v/>
      </c>
      <c r="M1474" s="2499">
        <v>10</v>
      </c>
      <c r="N1474" s="2311"/>
      <c r="O1474" s="2395">
        <f>'Part VIII Scoring Criteria'!O323</f>
        <v>10</v>
      </c>
      <c r="P1474" s="2395">
        <f>'Part VIII Scoring Criteria'!P323</f>
        <v>10</v>
      </c>
      <c r="Q1474" s="2499"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1"/>
      <c r="B1475" s="2464"/>
      <c r="C1475" s="2199"/>
      <c r="D1475" s="2464"/>
      <c r="E1475" s="2464"/>
      <c r="F1475" s="2199"/>
      <c r="G1475" s="2199"/>
      <c r="H1475" s="2199"/>
      <c r="I1475" s="2199"/>
      <c r="J1475" s="2199"/>
      <c r="K1475" s="2199"/>
      <c r="L1475" s="2927"/>
      <c r="M1475" s="2499"/>
      <c r="N1475" s="2311"/>
      <c r="O1475" s="2311"/>
      <c r="P1475" s="2311"/>
      <c r="Q1475" s="2499"/>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1"/>
      <c r="B1476" s="2198" t="s">
        <v>3177</v>
      </c>
      <c r="C1476" s="2199"/>
      <c r="D1476" s="2464"/>
      <c r="E1476" s="2464"/>
      <c r="F1476" s="2199"/>
      <c r="G1476" s="2199"/>
      <c r="H1476" s="2199"/>
      <c r="I1476" s="2199"/>
      <c r="J1476" s="2199"/>
      <c r="K1476" s="2199"/>
      <c r="L1476" s="2927"/>
      <c r="M1476" s="2499"/>
      <c r="N1476" s="2311"/>
      <c r="O1476" s="2395">
        <v>10</v>
      </c>
      <c r="P1476" s="2395">
        <v>10</v>
      </c>
      <c r="Q1476" s="2499"/>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1"/>
      <c r="B1477" s="2198" t="s">
        <v>3178</v>
      </c>
      <c r="C1477" s="2199"/>
      <c r="D1477" s="2464"/>
      <c r="E1477" s="2464"/>
      <c r="F1477" s="2199"/>
      <c r="G1477" s="2199"/>
      <c r="H1477" s="2199"/>
      <c r="I1477" s="2199"/>
      <c r="J1477" s="2199"/>
      <c r="K1477" s="2199"/>
      <c r="L1477" s="2927"/>
      <c r="M1477" s="2499"/>
      <c r="N1477" s="2311"/>
      <c r="O1477" s="2395">
        <f>'Part VIII Scoring Criteria'!O326</f>
        <v>0</v>
      </c>
      <c r="P1477" s="2395"/>
      <c r="Q1477" s="2499"/>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1"/>
      <c r="B1478" s="2198" t="s">
        <v>3179</v>
      </c>
      <c r="C1478" s="2199"/>
      <c r="D1478" s="2464"/>
      <c r="E1478" s="2464"/>
      <c r="F1478" s="2199"/>
      <c r="G1478" s="2199"/>
      <c r="H1478" s="2199"/>
      <c r="I1478" s="2199"/>
      <c r="J1478" s="2199"/>
      <c r="K1478" s="2199"/>
      <c r="L1478" s="2927"/>
      <c r="M1478" s="2499"/>
      <c r="N1478" s="2311"/>
      <c r="O1478" s="2395">
        <f>'Part VIII Scoring Criteria'!O327</f>
        <v>0</v>
      </c>
      <c r="P1478" s="2395"/>
      <c r="Q1478" s="2499"/>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09"/>
      <c r="B1479" s="2909" t="s">
        <v>1730</v>
      </c>
      <c r="C1479" s="2199"/>
      <c r="D1479" s="2909"/>
      <c r="E1479" s="2957"/>
      <c r="F1479" s="2957"/>
      <c r="G1479" s="2957"/>
      <c r="H1479" s="2957"/>
      <c r="I1479" s="2957"/>
      <c r="J1479" s="2957"/>
      <c r="K1479" s="2957"/>
      <c r="L1479" s="2957"/>
      <c r="M1479" s="2957"/>
      <c r="N1479" s="2958"/>
      <c r="O1479" s="2903"/>
      <c r="P1479" s="2499"/>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5"/>
      <c r="B1480" s="2405"/>
      <c r="C1480" s="2405"/>
      <c r="D1480" s="2405"/>
      <c r="E1480" s="2405"/>
      <c r="F1480" s="2405"/>
      <c r="G1480" s="2405"/>
      <c r="H1480" s="2405"/>
      <c r="I1480" s="2405"/>
      <c r="J1480" s="2405"/>
      <c r="K1480" s="2405"/>
      <c r="L1480" s="2405"/>
      <c r="M1480" s="2405"/>
      <c r="N1480" s="2405"/>
      <c r="O1480" s="2405"/>
      <c r="P1480" s="2405"/>
      <c r="Q1480" s="2198"/>
      <c r="R1480" s="2198"/>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5">
      <c r="A1481" s="2981"/>
      <c r="B1481" s="2199"/>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5">
      <c r="A1482" s="2981"/>
      <c r="B1482" s="2199"/>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5">
      <c r="A1483" s="2981" t="s">
        <v>3378</v>
      </c>
      <c r="B1483" s="2464" t="s">
        <v>6604</v>
      </c>
      <c r="C1483" s="2912"/>
      <c r="D1483" s="2912"/>
      <c r="E1483" s="2912"/>
      <c r="F1483" s="2912"/>
      <c r="G1483" s="2933"/>
      <c r="H1483" s="2912"/>
      <c r="I1483" s="2396"/>
      <c r="J1483" s="2396"/>
      <c r="K1483" s="2912"/>
      <c r="L1483" s="2912"/>
      <c r="M1483" s="2499">
        <v>3</v>
      </c>
      <c r="N1483" s="2936"/>
      <c r="O1483" s="2395">
        <f>'Part VIII Scoring Criteria'!O332</f>
        <v>3</v>
      </c>
      <c r="P1483" s="2395">
        <f>'Part VIII Scoring Criteria'!P332</f>
        <v>2</v>
      </c>
      <c r="Q1483" s="2499" t="s">
        <v>416</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5">
      <c r="A1484" s="2499" t="s">
        <v>1841</v>
      </c>
      <c r="B1484" s="2198" t="s">
        <v>6606</v>
      </c>
      <c r="C1484" s="2199"/>
      <c r="D1484" s="2199"/>
      <c r="E1484" s="2198"/>
      <c r="F1484" s="2199"/>
      <c r="G1484" s="2199"/>
      <c r="H1484" s="2199"/>
      <c r="I1484" s="2199"/>
      <c r="J1484" s="2199"/>
      <c r="K1484" s="2311"/>
      <c r="L1484" s="2467"/>
      <c r="M1484" s="2311">
        <v>1</v>
      </c>
      <c r="N1484" s="3001"/>
      <c r="O1484" s="2395">
        <f>'Part VIII Scoring Criteria'!O333</f>
        <v>1</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5">
      <c r="A1485" s="2499" t="s">
        <v>1843</v>
      </c>
      <c r="B1485" s="2198" t="s">
        <v>6607</v>
      </c>
      <c r="C1485" s="2437"/>
      <c r="D1485" s="2437"/>
      <c r="E1485" s="2437"/>
      <c r="F1485" s="2437"/>
      <c r="G1485" s="2199"/>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5">
      <c r="A1486" s="2499" t="s">
        <v>698</v>
      </c>
      <c r="B1486" s="2198" t="s">
        <v>6238</v>
      </c>
      <c r="C1486" s="2199"/>
      <c r="D1486" s="2199"/>
      <c r="E1486" s="2199"/>
      <c r="F1486" s="2199"/>
      <c r="G1486" s="2199"/>
      <c r="H1486" s="2199"/>
      <c r="I1486" s="2199"/>
      <c r="J1486" s="2199"/>
      <c r="K1486" s="2199"/>
      <c r="L1486" s="2199"/>
      <c r="M1486" s="2311">
        <v>1</v>
      </c>
      <c r="N1486" s="3001"/>
      <c r="O1486" s="2395">
        <f>'Part VIII Scoring Criteria'!O335</f>
        <v>0</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5">
      <c r="A1487" s="2499" t="s">
        <v>1962</v>
      </c>
      <c r="B1487" s="2198" t="s">
        <v>6608</v>
      </c>
      <c r="C1487" s="2199"/>
      <c r="D1487" s="2199"/>
      <c r="E1487" s="2199"/>
      <c r="F1487" s="2199"/>
      <c r="G1487" s="2199"/>
      <c r="H1487" s="2199"/>
      <c r="I1487" s="2199"/>
      <c r="J1487" s="2199"/>
      <c r="K1487" s="2199"/>
      <c r="L1487" s="2199"/>
      <c r="M1487" s="2311">
        <v>2</v>
      </c>
      <c r="N1487" s="3001"/>
      <c r="O1487" s="2395">
        <f>O1488-O1489</f>
        <v>2</v>
      </c>
      <c r="P1487" s="2395">
        <f>P1488-P1489</f>
        <v>2</v>
      </c>
      <c r="Q1487" s="2968"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1"/>
      <c r="B1488" s="2199"/>
      <c r="C1488" s="2198" t="s">
        <v>3177</v>
      </c>
      <c r="D1488" s="2464"/>
      <c r="E1488" s="2464"/>
      <c r="F1488" s="2199"/>
      <c r="G1488" s="2199"/>
      <c r="H1488" s="2199"/>
      <c r="I1488" s="2199"/>
      <c r="J1488" s="2199"/>
      <c r="K1488" s="2199"/>
      <c r="L1488" s="2927"/>
      <c r="M1488" s="2499"/>
      <c r="N1488" s="2311"/>
      <c r="O1488" s="2395">
        <v>2</v>
      </c>
      <c r="P1488" s="2395">
        <v>2</v>
      </c>
      <c r="Q1488" s="2499"/>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1"/>
      <c r="B1489" s="2199"/>
      <c r="C1489" s="2198" t="s">
        <v>3178</v>
      </c>
      <c r="D1489" s="2464"/>
      <c r="E1489" s="2464"/>
      <c r="F1489" s="2199"/>
      <c r="G1489" s="2199"/>
      <c r="H1489" s="2199"/>
      <c r="I1489" s="2199"/>
      <c r="J1489" s="2199"/>
      <c r="K1489" s="2199"/>
      <c r="L1489" s="2927"/>
      <c r="M1489" s="2499"/>
      <c r="N1489" s="2311"/>
      <c r="O1489" s="2395">
        <f>'Part VIII Scoring Criteria'!O338</f>
        <v>0</v>
      </c>
      <c r="P1489" s="2395"/>
      <c r="Q1489" s="2499"/>
      <c r="R1489" s="2928"/>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4" t="s">
        <v>3240</v>
      </c>
      <c r="C1490" s="2199"/>
      <c r="D1490" s="2199"/>
      <c r="E1490" s="2199"/>
      <c r="F1490" s="2199"/>
      <c r="G1490" s="2199"/>
      <c r="H1490" s="2199"/>
      <c r="I1490" s="2199"/>
      <c r="J1490" s="2199"/>
      <c r="K1490" s="2199"/>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409.5">
      <c r="A1491" s="2405" t="str">
        <f>'Part VIII Scoring Criteria'!A340</f>
        <v>Applicant is achieving 3 points in this section per XXIV. Integrated Supportive Housing - Sections A and D. 
Kenneth Blankenship, a member of the certifying GP, maintains 811 contracts with DCA at multiple properties, totaling 39 units since 2012. Ken and his team have been willing to take 811 residents at all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B1491" s="2405"/>
      <c r="C1491" s="2405"/>
      <c r="D1491" s="2405"/>
      <c r="E1491" s="2405"/>
      <c r="F1491" s="2405"/>
      <c r="G1491" s="2405"/>
      <c r="H1491" s="2405"/>
      <c r="I1491" s="2405"/>
      <c r="J1491" s="2405"/>
      <c r="K1491" s="2405"/>
      <c r="L1491" s="2405"/>
      <c r="M1491" s="2405"/>
      <c r="N1491" s="2405"/>
      <c r="O1491" s="2405"/>
      <c r="P1491" s="2405"/>
      <c r="Q1491" s="2198"/>
      <c r="R1491" s="2198"/>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5">
      <c r="A1492" s="2396"/>
      <c r="B1492" s="2935" t="s">
        <v>1730</v>
      </c>
      <c r="C1492" s="2199"/>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5">
      <c r="A1493" s="2405"/>
      <c r="B1493" s="2405"/>
      <c r="C1493" s="2405"/>
      <c r="D1493" s="2405"/>
      <c r="E1493" s="2405"/>
      <c r="F1493" s="2405"/>
      <c r="G1493" s="2405"/>
      <c r="H1493" s="2405"/>
      <c r="I1493" s="2405"/>
      <c r="J1493" s="2405"/>
      <c r="K1493" s="2405"/>
      <c r="L1493" s="2405"/>
      <c r="M1493" s="2405"/>
      <c r="N1493" s="2405"/>
      <c r="O1493" s="2405"/>
      <c r="P1493" s="2405"/>
      <c r="Q1493" s="2198"/>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5">
      <c r="A1494" s="2981"/>
      <c r="B1494" s="2199"/>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5">
      <c r="A1495" s="2981"/>
      <c r="B1495" s="2199"/>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5">
      <c r="A1496" s="2981" t="s">
        <v>3379</v>
      </c>
      <c r="B1496" s="2464" t="s">
        <v>6239</v>
      </c>
      <c r="C1496" s="2199"/>
      <c r="D1496" s="2464"/>
      <c r="E1496" s="2464"/>
      <c r="F1496" s="2199"/>
      <c r="G1496" s="2199"/>
      <c r="H1496" s="2199"/>
      <c r="I1496" s="2199"/>
      <c r="J1496" s="2199"/>
      <c r="K1496" s="2199"/>
      <c r="L1496" s="2968"/>
      <c r="M1496" s="2499">
        <v>6</v>
      </c>
      <c r="N1496" s="2311"/>
      <c r="O1496" s="2395">
        <f>'Part VIII Scoring Criteria'!O345</f>
        <v>0</v>
      </c>
      <c r="P1496" s="2395"/>
      <c r="Q1496" s="2499" t="s">
        <v>416</v>
      </c>
      <c r="R1496" s="2928"/>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4" t="s">
        <v>3240</v>
      </c>
      <c r="C1497" s="2199"/>
      <c r="D1497" s="2199"/>
      <c r="E1497" s="2199"/>
      <c r="F1497" s="2199"/>
      <c r="G1497" s="2199"/>
      <c r="H1497" s="2199"/>
      <c r="I1497" s="2199"/>
      <c r="J1497" s="2199"/>
      <c r="K1497" s="2199"/>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42.75">
      <c r="A1498" s="2405" t="str">
        <f>'Part VIII Scoring Criteria'!A347</f>
        <v>This section is NA</v>
      </c>
      <c r="B1498" s="2405"/>
      <c r="C1498" s="2405"/>
      <c r="D1498" s="2405"/>
      <c r="E1498" s="2405"/>
      <c r="F1498" s="2405"/>
      <c r="G1498" s="2405"/>
      <c r="H1498" s="2405"/>
      <c r="I1498" s="2405"/>
      <c r="J1498" s="2405"/>
      <c r="K1498" s="2405"/>
      <c r="L1498" s="2405"/>
      <c r="M1498" s="2405"/>
      <c r="N1498" s="2405"/>
      <c r="O1498" s="2405"/>
      <c r="P1498" s="2405"/>
      <c r="Q1498" s="2198"/>
      <c r="R1498" s="2198"/>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5">
      <c r="A1499" s="2909"/>
      <c r="B1499" s="2909" t="s">
        <v>1730</v>
      </c>
      <c r="C1499" s="2199"/>
      <c r="D1499" s="2909"/>
      <c r="E1499" s="2957"/>
      <c r="F1499" s="2957"/>
      <c r="G1499" s="2957"/>
      <c r="H1499" s="2957"/>
      <c r="I1499" s="2957"/>
      <c r="J1499" s="2957"/>
      <c r="K1499" s="2957"/>
      <c r="L1499" s="2957"/>
      <c r="M1499" s="2957"/>
      <c r="N1499" s="2958"/>
      <c r="O1499" s="2903"/>
      <c r="P1499" s="2499"/>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5"/>
      <c r="B1500" s="2405"/>
      <c r="C1500" s="2405"/>
      <c r="D1500" s="2405"/>
      <c r="E1500" s="2405"/>
      <c r="F1500" s="2405"/>
      <c r="G1500" s="2405"/>
      <c r="H1500" s="2405"/>
      <c r="I1500" s="2405"/>
      <c r="J1500" s="2405"/>
      <c r="K1500" s="2405"/>
      <c r="L1500" s="2405"/>
      <c r="M1500" s="2405"/>
      <c r="N1500" s="2405"/>
      <c r="O1500" s="2405"/>
      <c r="P1500" s="2405"/>
      <c r="Q1500" s="2198"/>
      <c r="R1500" s="2198"/>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5">
      <c r="A1501" s="2981"/>
      <c r="B1501" s="2199"/>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5">
      <c r="A1502" s="2981"/>
      <c r="B1502" s="2199"/>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5">
      <c r="A1503" s="2981" t="s">
        <v>3380</v>
      </c>
      <c r="B1503" s="2464" t="s">
        <v>6915</v>
      </c>
      <c r="C1503" s="2199"/>
      <c r="D1503" s="2464"/>
      <c r="E1503" s="2464"/>
      <c r="F1503" s="2198"/>
      <c r="G1503" s="2199"/>
      <c r="H1503" s="2199"/>
      <c r="I1503" s="2199"/>
      <c r="J1503" s="2199"/>
      <c r="K1503" s="2199"/>
      <c r="L1503" s="2968" t="str">
        <f>IF(OR($O1503=$M1503,$O1503=0,$O1503=""),"","*CHECK!*")</f>
        <v/>
      </c>
      <c r="M1503" s="2499">
        <v>6</v>
      </c>
      <c r="N1503" s="2311"/>
      <c r="O1503" s="2395"/>
      <c r="P1503" s="2395">
        <f>'Part VIII Scoring Criteria'!P352</f>
        <v>0</v>
      </c>
      <c r="Q1503" s="2499" t="s">
        <v>416</v>
      </c>
      <c r="R1503" s="2928"/>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1"/>
      <c r="B1504" s="2199" t="s">
        <v>6870</v>
      </c>
      <c r="C1504" s="2199"/>
      <c r="D1504" s="2464"/>
      <c r="E1504" s="2464"/>
      <c r="F1504" s="2198"/>
      <c r="G1504" s="2199"/>
      <c r="H1504" s="2199"/>
      <c r="I1504" s="2199"/>
      <c r="J1504" s="2199"/>
      <c r="K1504" s="2199"/>
      <c r="L1504" s="2968"/>
      <c r="M1504" s="2499"/>
      <c r="N1504" s="2311"/>
      <c r="O1504" s="2311">
        <f>'Part VIII Scoring Criteria'!O353</f>
        <v>0</v>
      </c>
      <c r="P1504" s="2499"/>
      <c r="Q1504" s="2499"/>
      <c r="R1504" s="2928"/>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09"/>
      <c r="B1505" s="2909" t="s">
        <v>1730</v>
      </c>
      <c r="C1505" s="2199"/>
      <c r="D1505" s="2909"/>
      <c r="E1505" s="2957"/>
      <c r="F1505" s="2957"/>
      <c r="G1505" s="2957"/>
      <c r="H1505" s="2957"/>
      <c r="I1505" s="2957"/>
      <c r="J1505" s="2957"/>
      <c r="K1505" s="2957"/>
      <c r="L1505" s="2957"/>
      <c r="M1505" s="2957"/>
      <c r="N1505" s="2958"/>
      <c r="O1505" s="2903"/>
      <c r="P1505" s="2499"/>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5"/>
      <c r="B1506" s="2405"/>
      <c r="C1506" s="2405"/>
      <c r="D1506" s="2405"/>
      <c r="E1506" s="2405"/>
      <c r="F1506" s="2405"/>
      <c r="G1506" s="2405"/>
      <c r="H1506" s="2405"/>
      <c r="I1506" s="2405"/>
      <c r="J1506" s="2405"/>
      <c r="K1506" s="2405"/>
      <c r="L1506" s="2405"/>
      <c r="M1506" s="2405"/>
      <c r="N1506" s="2405"/>
      <c r="O1506" s="2405"/>
      <c r="P1506" s="2405"/>
      <c r="Q1506" s="2198"/>
      <c r="R1506" s="2198"/>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5">
      <c r="A1507" s="2981"/>
      <c r="B1507" s="2199"/>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5">
      <c r="A1508" s="2981"/>
      <c r="B1508" s="2199"/>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5">
      <c r="A1509" s="2981" t="s">
        <v>3802</v>
      </c>
      <c r="B1509" s="2464" t="s">
        <v>6610</v>
      </c>
      <c r="C1509" s="2199"/>
      <c r="D1509" s="2464"/>
      <c r="E1509" s="2199"/>
      <c r="F1509" s="2199"/>
      <c r="G1509" s="2199"/>
      <c r="H1509" s="2199"/>
      <c r="I1509" s="2199"/>
      <c r="J1509" s="2199"/>
      <c r="K1509" s="2199"/>
      <c r="L1509" s="2968"/>
      <c r="M1509" s="2499">
        <v>4</v>
      </c>
      <c r="N1509" s="2311"/>
      <c r="O1509" s="2395">
        <f>'Part VIII Scoring Criteria'!O358</f>
        <v>0</v>
      </c>
      <c r="P1509" s="2395">
        <f>'Part VIII Scoring Criteria'!P358</f>
        <v>0</v>
      </c>
      <c r="Q1509" s="2499" t="s">
        <v>416</v>
      </c>
      <c r="R1509" s="2928"/>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4" t="s">
        <v>3240</v>
      </c>
      <c r="C1510" s="2199"/>
      <c r="D1510" s="2199"/>
      <c r="E1510" s="2199"/>
      <c r="F1510" s="2199"/>
      <c r="G1510" s="2199"/>
      <c r="H1510" s="2199"/>
      <c r="I1510" s="2199"/>
      <c r="J1510" s="2199"/>
      <c r="K1510" s="2199"/>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42.75">
      <c r="A1511" s="2405" t="str">
        <f>'Part VIII Scoring Criteria'!A360</f>
        <v>This section is NA</v>
      </c>
      <c r="B1511" s="2405"/>
      <c r="C1511" s="2405"/>
      <c r="D1511" s="2405"/>
      <c r="E1511" s="2405"/>
      <c r="F1511" s="2405"/>
      <c r="G1511" s="2405"/>
      <c r="H1511" s="2405"/>
      <c r="I1511" s="2405"/>
      <c r="J1511" s="2405"/>
      <c r="K1511" s="2405"/>
      <c r="L1511" s="2405"/>
      <c r="M1511" s="2405"/>
      <c r="N1511" s="2405"/>
      <c r="O1511" s="2405"/>
      <c r="P1511" s="2405"/>
      <c r="Q1511" s="2198"/>
      <c r="R1511" s="2198"/>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5">
      <c r="A1512" s="2909"/>
      <c r="B1512" s="2909" t="s">
        <v>1730</v>
      </c>
      <c r="C1512" s="2199"/>
      <c r="D1512" s="2909"/>
      <c r="E1512" s="2957"/>
      <c r="F1512" s="2957"/>
      <c r="G1512" s="2957"/>
      <c r="H1512" s="2957"/>
      <c r="I1512" s="2957"/>
      <c r="J1512" s="2957"/>
      <c r="K1512" s="2957"/>
      <c r="L1512" s="2957"/>
      <c r="M1512" s="2957"/>
      <c r="N1512" s="2958"/>
      <c r="O1512" s="2903"/>
      <c r="P1512" s="2499"/>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5"/>
      <c r="B1513" s="2405"/>
      <c r="C1513" s="2405"/>
      <c r="D1513" s="2405"/>
      <c r="E1513" s="2405"/>
      <c r="F1513" s="2405"/>
      <c r="G1513" s="2405"/>
      <c r="H1513" s="2405"/>
      <c r="I1513" s="2405"/>
      <c r="J1513" s="2405"/>
      <c r="K1513" s="2405"/>
      <c r="L1513" s="2405"/>
      <c r="M1513" s="2405"/>
      <c r="N1513" s="2405"/>
      <c r="O1513" s="2405"/>
      <c r="P1513" s="2405"/>
      <c r="Q1513" s="2198"/>
      <c r="R1513" s="2198"/>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5">
      <c r="A1514" s="2981"/>
      <c r="B1514" s="2199"/>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5">
      <c r="A1515" s="2981"/>
      <c r="B1515" s="2199"/>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5">
      <c r="A1516" s="2981" t="s">
        <v>6555</v>
      </c>
      <c r="B1516" s="2464" t="s">
        <v>6611</v>
      </c>
      <c r="C1516" s="2199"/>
      <c r="D1516" s="2464"/>
      <c r="E1516" s="2199"/>
      <c r="F1516" s="2199"/>
      <c r="G1516" s="2933"/>
      <c r="H1516" s="2199"/>
      <c r="I1516" s="2199"/>
      <c r="J1516" s="2199"/>
      <c r="K1516" s="2199"/>
      <c r="L1516" s="2968" t="str">
        <f>IF(OR($O1516&lt;=$M1516,$O1516=0,$O1516=""),"","*CHECK!*")</f>
        <v/>
      </c>
      <c r="M1516" s="2499">
        <v>6</v>
      </c>
      <c r="N1516" s="2311"/>
      <c r="O1516" s="2395">
        <f>'Part VIII Scoring Criteria'!O365</f>
        <v>0</v>
      </c>
      <c r="P1516" s="2395">
        <f>'Part VIII Scoring Criteria'!P365</f>
        <v>0</v>
      </c>
      <c r="Q1516" s="2499" t="s">
        <v>416</v>
      </c>
      <c r="R1516" s="2928"/>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499" t="s">
        <v>1841</v>
      </c>
      <c r="B1517" s="2198" t="s">
        <v>6132</v>
      </c>
      <c r="C1517" s="2396"/>
      <c r="D1517" s="2396"/>
      <c r="E1517" s="2404"/>
      <c r="F1517" s="2199"/>
      <c r="G1517" s="2199"/>
      <c r="H1517" s="2199"/>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5">
      <c r="A1518" s="2956" t="s">
        <v>1843</v>
      </c>
      <c r="B1518" s="2952" t="s">
        <v>6133</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5">
      <c r="A1519" s="2199"/>
      <c r="B1519" s="2464" t="s">
        <v>3240</v>
      </c>
      <c r="C1519" s="2199"/>
      <c r="D1519" s="2199"/>
      <c r="E1519" s="2199"/>
      <c r="F1519" s="2199"/>
      <c r="G1519" s="2199"/>
      <c r="H1519" s="2199"/>
      <c r="I1519" s="2199"/>
      <c r="J1519" s="2199"/>
      <c r="K1519" s="2199"/>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42.75">
      <c r="A1520" s="2405" t="str">
        <f>'Part VIII Scoring Criteria'!A369</f>
        <v>This section is NA</v>
      </c>
      <c r="B1520" s="2405"/>
      <c r="C1520" s="2405"/>
      <c r="D1520" s="2405"/>
      <c r="E1520" s="2405"/>
      <c r="F1520" s="2405"/>
      <c r="G1520" s="2405"/>
      <c r="H1520" s="2405"/>
      <c r="I1520" s="2405"/>
      <c r="J1520" s="2405"/>
      <c r="K1520" s="2405"/>
      <c r="L1520" s="2405"/>
      <c r="M1520" s="2405"/>
      <c r="N1520" s="2405"/>
      <c r="O1520" s="2405"/>
      <c r="P1520" s="2405"/>
      <c r="Q1520" s="2198"/>
      <c r="R1520" s="2198"/>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5">
      <c r="A1521" s="2909"/>
      <c r="B1521" s="2909" t="s">
        <v>1730</v>
      </c>
      <c r="C1521" s="2199"/>
      <c r="D1521" s="2909"/>
      <c r="E1521" s="2957"/>
      <c r="F1521" s="2957"/>
      <c r="G1521" s="2957"/>
      <c r="H1521" s="2957"/>
      <c r="I1521" s="2957"/>
      <c r="J1521" s="2957"/>
      <c r="K1521" s="2957"/>
      <c r="L1521" s="2957"/>
      <c r="M1521" s="2957"/>
      <c r="N1521" s="2958"/>
      <c r="O1521" s="2903"/>
      <c r="P1521" s="2499"/>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5"/>
      <c r="B1522" s="2405"/>
      <c r="C1522" s="2405"/>
      <c r="D1522" s="2405"/>
      <c r="E1522" s="2405"/>
      <c r="F1522" s="2405"/>
      <c r="G1522" s="2405"/>
      <c r="H1522" s="2405"/>
      <c r="I1522" s="2405"/>
      <c r="J1522" s="2405"/>
      <c r="K1522" s="2405"/>
      <c r="L1522" s="2405"/>
      <c r="M1522" s="2405"/>
      <c r="N1522" s="2405"/>
      <c r="O1522" s="2405"/>
      <c r="P1522" s="2405"/>
      <c r="Q1522" s="2198"/>
      <c r="R1522" s="2198"/>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5">
      <c r="A1523" s="2981"/>
      <c r="B1523" s="2199"/>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5">
      <c r="A1524" s="2981"/>
      <c r="B1524" s="2199"/>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5">
      <c r="A1525" s="2981" t="s">
        <v>6916</v>
      </c>
      <c r="B1525" s="2464" t="s">
        <v>6917</v>
      </c>
      <c r="C1525" s="2199"/>
      <c r="D1525" s="2464"/>
      <c r="E1525" s="2199"/>
      <c r="F1525" s="2199"/>
      <c r="G1525" s="2933"/>
      <c r="H1525" s="2199"/>
      <c r="I1525" s="2199"/>
      <c r="J1525" s="2199"/>
      <c r="K1525" s="2199"/>
      <c r="L1525" s="2968" t="str">
        <f>IF(OR($O1525&lt;=$M1525,$O1525=0,$O1525=""),"","*CHECK!*")</f>
        <v/>
      </c>
      <c r="M1525" s="2499">
        <v>16</v>
      </c>
      <c r="N1525" s="2311"/>
      <c r="O1525" s="2395">
        <f>'Part VIII Scoring Criteria'!O374</f>
        <v>0</v>
      </c>
      <c r="P1525" s="2395">
        <f>'Part VIII Scoring Criteria'!P374</f>
        <v>0</v>
      </c>
      <c r="Q1525" s="2499" t="s">
        <v>416</v>
      </c>
      <c r="R1525" s="2928"/>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499" t="s">
        <v>1841</v>
      </c>
      <c r="B1526" s="2198" t="s">
        <v>6918</v>
      </c>
      <c r="C1526" s="2396"/>
      <c r="D1526" s="2396"/>
      <c r="E1526" s="2396" t="s">
        <v>6920</v>
      </c>
      <c r="F1526" s="2199"/>
      <c r="G1526" s="2199"/>
      <c r="H1526" s="2199"/>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5.95" customHeight="1">
      <c r="A1527" s="2499"/>
      <c r="B1527" s="2396" t="s">
        <v>1133</v>
      </c>
      <c r="D1527" s="2396" t="s">
        <v>6930</v>
      </c>
      <c r="E1527" s="2199"/>
      <c r="F1527" s="2199"/>
      <c r="G1527" s="2199" t="s">
        <v>6222</v>
      </c>
      <c r="H1527" s="2199"/>
      <c r="I1527" s="2199"/>
      <c r="J1527" s="2199" t="s">
        <v>575</v>
      </c>
      <c r="L1527" s="2341" t="s">
        <v>6931</v>
      </c>
      <c r="M1527" s="4048" t="s">
        <v>6941</v>
      </c>
      <c r="N1527" s="4048"/>
      <c r="O1527" s="4048"/>
      <c r="P1527" s="4048"/>
      <c r="Q1527" s="2968"/>
    </row>
    <row r="1528" spans="1:64" s="2396" customFormat="1" ht="15.95" customHeight="1">
      <c r="A1528" s="2199">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5.95" customHeight="1">
      <c r="A1529" s="2199">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5.95" customHeight="1">
      <c r="A1530" s="2199">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5.95" customHeight="1">
      <c r="A1531" s="2199">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5.95" customHeight="1">
      <c r="A1532" s="2199">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5.95" customHeight="1">
      <c r="A1533" s="2199">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5.95" customHeight="1">
      <c r="A1534" s="2199">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5.95" customHeight="1">
      <c r="A1535" s="2199">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4.25">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5.95" customHeight="1">
      <c r="A1537" s="2199">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5">
      <c r="A1538" s="2956" t="s">
        <v>1843</v>
      </c>
      <c r="B1538" s="2952" t="s">
        <v>6919</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5">
      <c r="A1539" s="2199"/>
      <c r="B1539" s="2464" t="s">
        <v>3240</v>
      </c>
      <c r="C1539" s="2199"/>
      <c r="D1539" s="2199"/>
      <c r="E1539" s="2199"/>
      <c r="F1539" s="2199"/>
      <c r="G1539" s="2199"/>
      <c r="H1539" s="2199"/>
      <c r="I1539" s="2199"/>
      <c r="J1539" s="2199"/>
      <c r="K1539" s="2199"/>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42.75">
      <c r="A1540" s="2405" t="str">
        <f>'Part VIII Scoring Criteria'!A389</f>
        <v>This section is NA</v>
      </c>
      <c r="B1540" s="2405"/>
      <c r="C1540" s="2405"/>
      <c r="D1540" s="2405"/>
      <c r="E1540" s="2405"/>
      <c r="F1540" s="2405"/>
      <c r="G1540" s="2405"/>
      <c r="H1540" s="2405"/>
      <c r="I1540" s="2405"/>
      <c r="J1540" s="2405"/>
      <c r="K1540" s="2405"/>
      <c r="L1540" s="2405"/>
      <c r="M1540" s="2405"/>
      <c r="N1540" s="2405"/>
      <c r="O1540" s="2405"/>
      <c r="P1540" s="2405"/>
      <c r="Q1540" s="2198"/>
      <c r="R1540" s="2198"/>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5">
      <c r="A1541" s="2909"/>
      <c r="B1541" s="2909" t="s">
        <v>1730</v>
      </c>
      <c r="C1541" s="2199"/>
      <c r="D1541" s="2909"/>
      <c r="E1541" s="2957"/>
      <c r="F1541" s="2957"/>
      <c r="G1541" s="2957"/>
      <c r="H1541" s="2957"/>
      <c r="I1541" s="2957"/>
      <c r="J1541" s="2957"/>
      <c r="K1541" s="2957"/>
      <c r="L1541" s="2957"/>
      <c r="M1541" s="2957"/>
      <c r="N1541" s="2958"/>
      <c r="O1541" s="2903"/>
      <c r="P1541" s="2499"/>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5"/>
      <c r="B1542" s="2405"/>
      <c r="C1542" s="2405"/>
      <c r="D1542" s="2405"/>
      <c r="E1542" s="2405"/>
      <c r="F1542" s="2405"/>
      <c r="G1542" s="2405"/>
      <c r="H1542" s="2405"/>
      <c r="I1542" s="2405"/>
      <c r="J1542" s="2405"/>
      <c r="K1542" s="2405"/>
      <c r="L1542" s="2405"/>
      <c r="M1542" s="2405"/>
      <c r="N1542" s="2405"/>
      <c r="O1542" s="2405"/>
      <c r="P1542" s="2405"/>
      <c r="Q1542" s="2198"/>
      <c r="R1542" s="2198"/>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5">
      <c r="A1543" s="2199"/>
      <c r="B1543" s="2199"/>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5">
      <c r="A1544" s="2199"/>
      <c r="B1544" s="2199"/>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5">
      <c r="A1545" s="2463" t="s">
        <v>6921</v>
      </c>
      <c r="B1545" s="2464" t="s">
        <v>6922</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5">
      <c r="A1546" s="2920" t="s">
        <v>1841</v>
      </c>
      <c r="B1546" s="2198" t="s">
        <v>7029</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NA</v>
      </c>
      <c r="C1547" s="2405"/>
      <c r="D1547" s="2405"/>
      <c r="E1547" s="2405"/>
      <c r="F1547" s="2405"/>
      <c r="G1547" s="2405"/>
      <c r="H1547" s="2405"/>
      <c r="I1547" s="2405"/>
      <c r="J1547" s="2405"/>
      <c r="K1547" s="2405"/>
      <c r="L1547" s="2405"/>
      <c r="M1547" s="2405"/>
      <c r="N1547" s="2405"/>
      <c r="O1547" s="2405"/>
      <c r="P1547" s="2405"/>
      <c r="Q1547" s="2198"/>
      <c r="R1547" s="2198"/>
      <c r="S1547" s="2198"/>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5">
      <c r="A1548" s="3000" t="s">
        <v>1843</v>
      </c>
      <c r="B1548" s="2952" t="s">
        <v>7030</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NA</v>
      </c>
      <c r="C1549" s="2405"/>
      <c r="D1549" s="2405"/>
      <c r="E1549" s="2405"/>
      <c r="F1549" s="2405"/>
      <c r="G1549" s="2405"/>
      <c r="H1549" s="2405"/>
      <c r="I1549" s="2405"/>
      <c r="J1549" s="2405"/>
      <c r="K1549" s="2405"/>
      <c r="L1549" s="2405"/>
      <c r="M1549" s="2405"/>
      <c r="N1549" s="2405"/>
      <c r="O1549" s="2405"/>
      <c r="P1549" s="2405"/>
      <c r="Q1549" s="2198"/>
      <c r="R1549" s="2198"/>
      <c r="S1549" s="2198"/>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5">
      <c r="A1550" s="2199"/>
      <c r="B1550" s="2464" t="s">
        <v>3240</v>
      </c>
      <c r="C1550" s="2199"/>
      <c r="D1550" s="2199"/>
      <c r="E1550" s="2199"/>
      <c r="F1550" s="2199"/>
      <c r="G1550" s="2199"/>
      <c r="H1550" s="2199"/>
      <c r="I1550" s="2199"/>
      <c r="J1550" s="2199"/>
      <c r="K1550" s="2199"/>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42.75">
      <c r="A1551" s="2405" t="str">
        <f>'Part VIII Scoring Criteria'!A400</f>
        <v>This section is NA</v>
      </c>
      <c r="B1551" s="2405"/>
      <c r="C1551" s="2405"/>
      <c r="D1551" s="2405"/>
      <c r="E1551" s="2405"/>
      <c r="F1551" s="2405"/>
      <c r="G1551" s="2405"/>
      <c r="H1551" s="2405"/>
      <c r="I1551" s="2405"/>
      <c r="J1551" s="2405"/>
      <c r="K1551" s="2405"/>
      <c r="L1551" s="2405"/>
      <c r="M1551" s="2405"/>
      <c r="N1551" s="2405"/>
      <c r="O1551" s="2405"/>
      <c r="P1551" s="2405"/>
      <c r="Q1551" s="2198"/>
      <c r="R1551" s="2198"/>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5">
      <c r="A1552" s="2396"/>
      <c r="B1552" s="2935" t="s">
        <v>1730</v>
      </c>
      <c r="C1552" s="2199"/>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5">
      <c r="A1553" s="2405"/>
      <c r="B1553" s="2405"/>
      <c r="C1553" s="2405"/>
      <c r="D1553" s="2405"/>
      <c r="E1553" s="2405"/>
      <c r="F1553" s="2405"/>
      <c r="G1553" s="2405"/>
      <c r="H1553" s="2405"/>
      <c r="I1553" s="2405"/>
      <c r="J1553" s="2405"/>
      <c r="K1553" s="2405"/>
      <c r="L1553" s="2405"/>
      <c r="M1553" s="2405"/>
      <c r="N1553" s="2405"/>
      <c r="O1553" s="2405"/>
      <c r="P1553" s="2405"/>
      <c r="Q1553" s="2198"/>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7031</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5">
      <c r="A1555" s="2198" t="s">
        <v>402</v>
      </c>
      <c r="B1555" s="2396"/>
      <c r="C1555" s="2199"/>
      <c r="D1555" s="2396"/>
      <c r="E1555" s="2396"/>
      <c r="F1555" s="2396"/>
      <c r="G1555" s="2199"/>
      <c r="H1555" s="2199"/>
      <c r="I1555" s="2199"/>
      <c r="J1555" s="2199"/>
      <c r="K1555" s="2199"/>
      <c r="L1555" s="2199"/>
      <c r="M1555" s="2395">
        <f>IF(AND(AQ1573="9%",F1187="New Supply"),AG1600,IF(AND(AQ1573="4%",F1187="New Supply"),AH1600,IF(AND(AQ1573="9%",F1187="Rehabilitation"),AK1600,IF(AND(AQ1573="4%",F1187="Rehabilitation"),AI1600,AL1600))))</f>
        <v>61</v>
      </c>
      <c r="N1555" s="2906"/>
      <c r="O1555" s="2907">
        <f>'Part VIII Scoring Criteria'!O404</f>
        <v>73.5</v>
      </c>
      <c r="P1555" s="2907">
        <f>'Part VIII Scoring Criteria'!P404</f>
        <v>22</v>
      </c>
      <c r="Q1555" s="2437"/>
      <c r="R1555" s="2437"/>
      <c r="S1555" s="2437"/>
      <c r="T1555" s="2437"/>
      <c r="U1555" s="2437"/>
      <c r="V1555" s="2437"/>
      <c r="W1555" s="2437"/>
      <c r="X1555" s="2437"/>
      <c r="Y1555" s="2437"/>
      <c r="Z1555" s="2437"/>
      <c r="AA1555" s="2437"/>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5">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7032</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14.25">
      <c r="A1559" s="2405">
        <f>'Part VIII Scoring Criteria'!A408</f>
        <v>0</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5">
      <c r="A1560" s="2396"/>
      <c r="B1560" s="2396"/>
      <c r="C1560" s="2396" t="s">
        <v>1939</v>
      </c>
      <c r="D1560" s="2396"/>
      <c r="E1560" s="2396"/>
      <c r="F1560" s="2396"/>
      <c r="G1560" s="2396"/>
      <c r="H1560" s="2396"/>
      <c r="I1560" s="2396"/>
      <c r="J1560" s="2397" t="s">
        <v>1537</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5">
      <c r="A1561" s="2396"/>
      <c r="B1561" s="2396"/>
      <c r="C1561" s="2396" t="s">
        <v>1940</v>
      </c>
      <c r="D1561" s="2396"/>
      <c r="E1561" s="2396"/>
      <c r="F1561" s="2396"/>
      <c r="G1561" s="2396"/>
      <c r="H1561" s="2396"/>
      <c r="I1561" s="2396"/>
      <c r="J1561" s="2397" t="s">
        <v>1538</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5">
      <c r="A1562" s="2396"/>
      <c r="B1562" s="2396"/>
      <c r="C1562" s="2396" t="s">
        <v>1941</v>
      </c>
      <c r="D1562" s="2396"/>
      <c r="E1562" s="2396"/>
      <c r="F1562" s="2396"/>
      <c r="G1562" s="2396"/>
      <c r="H1562" s="2396"/>
      <c r="I1562" s="2396"/>
      <c r="J1562" s="2397" t="s">
        <v>2306</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5">
      <c r="A1563" s="2396"/>
      <c r="B1563" s="2396"/>
      <c r="C1563" s="2396" t="s">
        <v>1942</v>
      </c>
      <c r="D1563" s="2396"/>
      <c r="E1563" s="2396"/>
      <c r="F1563" s="2396"/>
      <c r="G1563" s="2396"/>
      <c r="H1563" s="2396"/>
      <c r="I1563" s="2396"/>
      <c r="J1563" s="2397" t="s">
        <v>1539</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5">
      <c r="A1564" s="2396"/>
      <c r="B1564" s="2396"/>
      <c r="C1564" s="2396"/>
      <c r="D1564" s="2396"/>
      <c r="E1564" s="2396"/>
      <c r="F1564" s="2396"/>
      <c r="G1564" s="2396"/>
      <c r="H1564" s="2396"/>
      <c r="I1564" s="2396"/>
      <c r="J1564" s="2397" t="s">
        <v>1540</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5">
      <c r="A1565" s="2396"/>
      <c r="B1565" s="2396"/>
      <c r="C1565" s="2396" t="s">
        <v>1646</v>
      </c>
      <c r="D1565" s="2396"/>
      <c r="E1565" s="2396"/>
      <c r="F1565" s="2396"/>
      <c r="G1565" s="2396"/>
      <c r="H1565" s="2396"/>
      <c r="I1565" s="2396"/>
      <c r="J1565" s="2397" t="s">
        <v>1541</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5">
      <c r="A1566" s="2396"/>
      <c r="B1566" s="2396"/>
      <c r="C1566" s="2399" t="s">
        <v>1312</v>
      </c>
      <c r="D1566" s="2396"/>
      <c r="E1566" s="2396"/>
      <c r="F1566" s="2396"/>
      <c r="G1566" s="2396"/>
      <c r="H1566" s="2396"/>
      <c r="I1566" s="2396"/>
      <c r="J1566" s="2397" t="s">
        <v>1542</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6"/>
      <c r="B1567" s="2396"/>
      <c r="C1567" s="2399" t="s">
        <v>1313</v>
      </c>
      <c r="D1567" s="2396"/>
      <c r="E1567" s="2396"/>
      <c r="F1567" s="2396"/>
      <c r="G1567" s="2396"/>
      <c r="H1567" s="2396"/>
      <c r="I1567" s="2396"/>
      <c r="J1567" s="2397" t="s">
        <v>1543</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6"/>
      <c r="B1568" s="2396"/>
      <c r="C1568" s="2399" t="s">
        <v>1980</v>
      </c>
      <c r="D1568" s="2396"/>
      <c r="E1568" s="2396"/>
      <c r="F1568" s="2396"/>
      <c r="G1568" s="2396"/>
      <c r="H1568" s="2396"/>
      <c r="I1568" s="2396"/>
      <c r="J1568" s="2397" t="s">
        <v>1544</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1309</v>
      </c>
      <c r="D1569" s="2396"/>
      <c r="E1569" s="2396"/>
      <c r="F1569" s="2396"/>
      <c r="G1569" s="2396"/>
      <c r="H1569" s="2396"/>
      <c r="I1569" s="2396"/>
      <c r="J1569" s="2397" t="s">
        <v>549</v>
      </c>
      <c r="K1569" s="2396"/>
      <c r="L1569" s="2396"/>
      <c r="M1569" s="2396"/>
      <c r="N1569" s="2341"/>
      <c r="O1569" s="2398"/>
      <c r="P1569" s="2398"/>
      <c r="Q1569" s="2396"/>
      <c r="R1569" s="2396"/>
      <c r="S1569" s="2396"/>
      <c r="T1569" s="2396"/>
      <c r="U1569" s="2396"/>
      <c r="V1569" s="2396"/>
      <c r="W1569" s="2396"/>
      <c r="X1569" s="2396"/>
      <c r="Y1569" s="2396"/>
      <c r="Z1569" s="2396"/>
      <c r="AA1569" s="2463" t="s">
        <v>689</v>
      </c>
      <c r="AB1569" s="2464" t="s">
        <v>6136</v>
      </c>
      <c r="AC1569" s="2199"/>
      <c r="AD1569" s="2396"/>
      <c r="AE1569" s="2396"/>
      <c r="AF1569" s="2396"/>
      <c r="AG1569" s="2462" t="s">
        <v>6124</v>
      </c>
      <c r="AH1569" s="2462"/>
      <c r="AI1569" s="2462" t="s">
        <v>6505</v>
      </c>
      <c r="AJ1569" s="2462"/>
      <c r="AK1569" s="2462"/>
      <c r="AL1569" s="2462"/>
      <c r="AM1569" s="2462"/>
      <c r="AN1569" s="2404" t="s">
        <v>6137</v>
      </c>
      <c r="AO1569" s="2404"/>
      <c r="AP1569" s="2404"/>
      <c r="AQ1569" s="2404"/>
      <c r="AR1569" s="2396"/>
      <c r="AS1569" s="2465"/>
      <c r="AT1569" s="2464" t="s">
        <v>6136</v>
      </c>
      <c r="AU1569" s="2465"/>
      <c r="AV1569" s="2465"/>
      <c r="AW1569" s="2465"/>
      <c r="AX1569" s="2396"/>
      <c r="AY1569" s="2462" t="s">
        <v>6124</v>
      </c>
      <c r="AZ1569" s="2462"/>
      <c r="BA1569" s="2462" t="s">
        <v>6505</v>
      </c>
      <c r="BB1569" s="2462"/>
      <c r="BC1569" s="2462"/>
      <c r="BD1569" s="2462"/>
      <c r="BE1569" s="2462"/>
      <c r="BF1569" s="2462" t="s">
        <v>6124</v>
      </c>
      <c r="BG1569" s="2462"/>
      <c r="BH1569" s="2462" t="s">
        <v>6505</v>
      </c>
      <c r="BI1569" s="2462"/>
      <c r="BJ1569" s="2462"/>
      <c r="BK1569" s="2462"/>
      <c r="BL1569" s="2462"/>
    </row>
    <row r="1570" spans="1:64" ht="28.5">
      <c r="A1570" s="2396"/>
      <c r="B1570" s="2396"/>
      <c r="C1570" s="2399" t="s">
        <v>1310</v>
      </c>
      <c r="D1570" s="2396"/>
      <c r="E1570" s="2396"/>
      <c r="F1570" s="2396"/>
      <c r="G1570" s="2396"/>
      <c r="H1570" s="2396"/>
      <c r="I1570" s="2396"/>
      <c r="J1570" s="2397" t="s">
        <v>1545</v>
      </c>
      <c r="K1570" s="2396"/>
      <c r="L1570" s="2396"/>
      <c r="M1570" s="2396"/>
      <c r="N1570" s="2341"/>
      <c r="O1570" s="2398"/>
      <c r="P1570" s="2398"/>
      <c r="Q1570" s="2396"/>
      <c r="R1570" s="2396"/>
      <c r="S1570" s="2396"/>
      <c r="T1570" s="2396"/>
      <c r="U1570" s="2396"/>
      <c r="V1570" s="2396"/>
      <c r="W1570" s="2396"/>
      <c r="X1570" s="2396"/>
      <c r="Y1570" s="2396"/>
      <c r="Z1570" s="2396"/>
      <c r="AA1570" s="2396"/>
      <c r="AB1570" s="2199"/>
      <c r="AC1570" s="2396"/>
      <c r="AD1570" s="2396"/>
      <c r="AE1570" s="2396"/>
      <c r="AF1570" s="2396"/>
      <c r="AG1570" s="3005">
        <v>0.09</v>
      </c>
      <c r="AH1570" s="3005">
        <v>0.04</v>
      </c>
      <c r="AI1570" s="3005">
        <v>0.04</v>
      </c>
      <c r="AJ1570" s="3005" t="s">
        <v>6913</v>
      </c>
      <c r="AK1570" s="3005" t="s">
        <v>6545</v>
      </c>
      <c r="AL1570" s="3005" t="s">
        <v>6546</v>
      </c>
      <c r="AM1570" s="3005" t="s">
        <v>6547</v>
      </c>
      <c r="AN1570" s="2462">
        <f>'Part I-Project Identification'!F1164</f>
        <v>0</v>
      </c>
      <c r="AO1570" s="2462"/>
      <c r="AP1570" s="2462"/>
      <c r="AQ1570" s="2462"/>
      <c r="AR1570" s="2396"/>
      <c r="AS1570" s="2396"/>
      <c r="AT1570" s="2199"/>
      <c r="AU1570" s="2396"/>
      <c r="AV1570" s="2396"/>
      <c r="AW1570" s="2396"/>
      <c r="AX1570" s="2396"/>
      <c r="AY1570" s="3005">
        <v>0.09</v>
      </c>
      <c r="AZ1570" s="3005">
        <v>0.04</v>
      </c>
      <c r="BA1570" s="3005">
        <v>0.04</v>
      </c>
      <c r="BB1570" s="3005" t="s">
        <v>6927</v>
      </c>
      <c r="BC1570" s="3005" t="s">
        <v>6545</v>
      </c>
      <c r="BD1570" s="3005" t="s">
        <v>6546</v>
      </c>
      <c r="BE1570" s="3005" t="s">
        <v>6547</v>
      </c>
      <c r="BF1570" s="3005">
        <v>0.09</v>
      </c>
      <c r="BG1570" s="3005">
        <v>0.04</v>
      </c>
      <c r="BH1570" s="3005">
        <v>0.04</v>
      </c>
      <c r="BI1570" s="3005" t="s">
        <v>6927</v>
      </c>
      <c r="BJ1570" s="3005" t="s">
        <v>6545</v>
      </c>
      <c r="BK1570" s="3005" t="s">
        <v>6546</v>
      </c>
      <c r="BL1570" s="3005" t="s">
        <v>6547</v>
      </c>
    </row>
    <row r="1571" spans="1:64" ht="15">
      <c r="A1571" s="2396"/>
      <c r="B1571" s="2396"/>
      <c r="C1571" s="2399" t="s">
        <v>1975</v>
      </c>
      <c r="D1571" s="2396"/>
      <c r="E1571" s="2396"/>
      <c r="F1571" s="2396"/>
      <c r="G1571" s="2396"/>
      <c r="H1571" s="2396"/>
      <c r="I1571" s="2396"/>
      <c r="J1571" s="2397" t="s">
        <v>1546</v>
      </c>
      <c r="K1571" s="2396"/>
      <c r="L1571" s="2396"/>
      <c r="M1571" s="2396"/>
      <c r="N1571" s="2341"/>
      <c r="O1571" s="2398"/>
      <c r="P1571" s="2398"/>
      <c r="Q1571" s="2396"/>
      <c r="R1571" s="2396"/>
      <c r="S1571" s="2396"/>
      <c r="T1571" s="2396"/>
      <c r="U1571" s="2396"/>
      <c r="V1571" s="2396"/>
      <c r="W1571" s="2396"/>
      <c r="X1571" s="2396"/>
      <c r="Y1571" s="2396"/>
      <c r="Z1571" s="2396"/>
      <c r="AA1571" s="2467" t="s">
        <v>573</v>
      </c>
      <c r="AB1571" s="2199" t="s">
        <v>6751</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573</v>
      </c>
      <c r="AT1571" s="2199" t="s">
        <v>6751</v>
      </c>
      <c r="AU1571" s="2199"/>
      <c r="AV1571" s="2199"/>
      <c r="AW1571" s="2199"/>
      <c r="AX1571" s="2199"/>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5">
      <c r="A1572" s="2396"/>
      <c r="B1572" s="2396"/>
      <c r="C1572" s="2399" t="s">
        <v>1976</v>
      </c>
      <c r="D1572" s="2396"/>
      <c r="E1572" s="2396"/>
      <c r="F1572" s="2396"/>
      <c r="G1572" s="2396"/>
      <c r="H1572" s="2396"/>
      <c r="I1572" s="2396"/>
      <c r="J1572" s="2397" t="s">
        <v>1547</v>
      </c>
      <c r="K1572" s="2396"/>
      <c r="L1572" s="2396"/>
      <c r="M1572" s="2396"/>
      <c r="N1572" s="2341"/>
      <c r="O1572" s="2398"/>
      <c r="P1572" s="2398"/>
      <c r="Q1572" s="2396"/>
      <c r="R1572" s="2396"/>
      <c r="S1572" s="2396"/>
      <c r="T1572" s="2396"/>
      <c r="U1572" s="2396"/>
      <c r="V1572" s="2396"/>
      <c r="W1572" s="2396"/>
      <c r="X1572" s="2396"/>
      <c r="Y1572" s="2396"/>
      <c r="Z1572" s="2396"/>
      <c r="AA1572" s="2467" t="s">
        <v>691</v>
      </c>
      <c r="AB1572" s="2199" t="s">
        <v>6125</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691</v>
      </c>
      <c r="AT1572" s="2199" t="s">
        <v>6125</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5">
      <c r="A1573" s="2396"/>
      <c r="B1573" s="2396"/>
      <c r="C1573" s="2399" t="s">
        <v>1977</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1666</v>
      </c>
      <c r="AB1573" s="2199" t="s">
        <v>6126</v>
      </c>
      <c r="AC1573" s="2396"/>
      <c r="AD1573" s="2396"/>
      <c r="AE1573" s="2396"/>
      <c r="AF1573" s="2396"/>
      <c r="AG1573" s="2958">
        <v>3</v>
      </c>
      <c r="AH1573" s="2958">
        <v>3</v>
      </c>
      <c r="AI1573" s="2958"/>
      <c r="AJ1573" s="2958"/>
      <c r="AK1573" s="2958"/>
      <c r="AL1573" s="2958"/>
      <c r="AM1573" s="2958"/>
      <c r="AN1573" s="2198" t="s">
        <v>6138</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1666</v>
      </c>
      <c r="AT1573" s="2199" t="s">
        <v>6126</v>
      </c>
      <c r="AU1573" s="2396"/>
      <c r="AV1573" s="2396"/>
      <c r="AW1573" s="2396"/>
      <c r="AX1573" s="2396"/>
      <c r="AY1573" s="3006">
        <f>O1217</f>
        <v>2</v>
      </c>
      <c r="AZ1573" s="3006">
        <f>O1217</f>
        <v>2</v>
      </c>
      <c r="BA1573" s="3006"/>
      <c r="BB1573" s="3006"/>
      <c r="BC1573" s="2958"/>
      <c r="BD1573" s="3006"/>
      <c r="BE1573" s="3006"/>
      <c r="BF1573" s="3006">
        <f>P1217</f>
        <v>0</v>
      </c>
      <c r="BG1573" s="3006">
        <f>P1217</f>
        <v>0</v>
      </c>
      <c r="BH1573" s="3006"/>
      <c r="BI1573" s="3006"/>
      <c r="BJ1573" s="2958"/>
      <c r="BK1573" s="3006"/>
      <c r="BL1573" s="3006"/>
    </row>
    <row r="1574" spans="1:64" ht="15">
      <c r="A1574" s="2396"/>
      <c r="B1574" s="2396"/>
      <c r="C1574" s="2399" t="s">
        <v>1978</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1668</v>
      </c>
      <c r="AB1574" s="2199" t="s">
        <v>3393</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1668</v>
      </c>
      <c r="AT1574" s="2199" t="s">
        <v>3393</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5">
      <c r="A1575" s="2396"/>
      <c r="B1575" s="2396"/>
      <c r="C1575" s="2399" t="s">
        <v>1979</v>
      </c>
      <c r="D1575" s="2396"/>
      <c r="E1575" s="2396"/>
      <c r="F1575" s="2396"/>
      <c r="G1575" s="2396"/>
      <c r="H1575" s="2396"/>
      <c r="I1575" s="2396"/>
      <c r="J1575" s="2400" t="s">
        <v>3037</v>
      </c>
      <c r="K1575" s="2396"/>
      <c r="L1575" s="2396"/>
      <c r="M1575" s="2396"/>
      <c r="N1575" s="2341"/>
      <c r="O1575" s="2400" t="s">
        <v>3251</v>
      </c>
      <c r="P1575" s="2398"/>
      <c r="Q1575" s="2396"/>
      <c r="R1575" s="2396"/>
      <c r="S1575" s="2396"/>
      <c r="T1575" s="2396"/>
      <c r="U1575" s="2396"/>
      <c r="V1575" s="2396"/>
      <c r="W1575" s="2396"/>
      <c r="X1575" s="2396"/>
      <c r="Y1575" s="2396"/>
      <c r="Z1575" s="2396"/>
      <c r="AA1575" s="2467" t="s">
        <v>496</v>
      </c>
      <c r="AB1575" s="2199" t="s">
        <v>4037</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496</v>
      </c>
      <c r="AT1575" s="2199" t="s">
        <v>4037</v>
      </c>
      <c r="AU1575" s="2396"/>
      <c r="AV1575" s="2396"/>
      <c r="AW1575" s="2396"/>
      <c r="AX1575" s="2396"/>
      <c r="AY1575" s="3007">
        <f>O1237</f>
        <v>4.5</v>
      </c>
      <c r="AZ1575" s="3007">
        <f>O1237</f>
        <v>4.5</v>
      </c>
      <c r="BA1575" s="2958"/>
      <c r="BB1575" s="2958"/>
      <c r="BC1575" s="2958"/>
      <c r="BD1575" s="2958"/>
      <c r="BE1575" s="2958"/>
      <c r="BF1575" s="3007">
        <f>P1237</f>
        <v>0</v>
      </c>
      <c r="BG1575" s="3007">
        <f>P1237</f>
        <v>0</v>
      </c>
      <c r="BH1575" s="2958"/>
      <c r="BI1575" s="2958"/>
      <c r="BJ1575" s="2958"/>
      <c r="BK1575" s="2958"/>
      <c r="BL1575" s="2958"/>
    </row>
    <row r="1576" spans="1:64" ht="15">
      <c r="A1576" s="2396"/>
      <c r="B1576" s="2396"/>
      <c r="C1576" s="2399" t="s">
        <v>1311</v>
      </c>
      <c r="D1576" s="2396"/>
      <c r="E1576" s="2396"/>
      <c r="F1576" s="2396"/>
      <c r="G1576" s="2396"/>
      <c r="H1576" s="2396"/>
      <c r="I1576" s="2396"/>
      <c r="J1576" s="2397" t="s">
        <v>3038</v>
      </c>
      <c r="K1576" s="2396"/>
      <c r="L1576" s="2396"/>
      <c r="M1576" s="2396"/>
      <c r="N1576" s="2341"/>
      <c r="O1576" s="2398"/>
      <c r="P1576" s="2398"/>
      <c r="Q1576" s="2396"/>
      <c r="R1576" s="2396"/>
      <c r="S1576" s="2396"/>
      <c r="T1576" s="2396"/>
      <c r="U1576" s="2396"/>
      <c r="V1576" s="2396"/>
      <c r="W1576" s="2396"/>
      <c r="X1576" s="2396"/>
      <c r="Y1576" s="2396"/>
      <c r="Z1576" s="2396"/>
      <c r="AA1576" s="2467" t="s">
        <v>720</v>
      </c>
      <c r="AB1576" s="2199" t="s">
        <v>3338</v>
      </c>
      <c r="AC1576" s="2396"/>
      <c r="AD1576" s="2396"/>
      <c r="AE1576" s="2396"/>
      <c r="AF1576" s="2396"/>
      <c r="AG1576" s="2958">
        <v>3</v>
      </c>
      <c r="AH1576" s="2958">
        <v>2</v>
      </c>
      <c r="AI1576" s="2958"/>
      <c r="AJ1576" s="2958"/>
      <c r="AK1576" s="2958"/>
      <c r="AL1576" s="2958"/>
      <c r="AM1576" s="2958"/>
      <c r="AN1576" s="2198" t="s">
        <v>6561</v>
      </c>
      <c r="AO1576" s="2198"/>
      <c r="AP1576" s="2198"/>
      <c r="AQ1576" s="2198"/>
      <c r="AR1576" s="2396"/>
      <c r="AS1576" s="2467" t="s">
        <v>720</v>
      </c>
      <c r="AT1576" s="2199" t="s">
        <v>3338</v>
      </c>
      <c r="AU1576" s="2396"/>
      <c r="AV1576" s="2396"/>
      <c r="AW1576" s="2396"/>
      <c r="AX1576" s="2396"/>
      <c r="AY1576" s="2958">
        <f>O1257</f>
        <v>3</v>
      </c>
      <c r="AZ1576" s="2958">
        <f>O1257</f>
        <v>3</v>
      </c>
      <c r="BA1576" s="2958"/>
      <c r="BB1576" s="2958"/>
      <c r="BC1576" s="2958"/>
      <c r="BD1576" s="2958"/>
      <c r="BE1576" s="2958"/>
      <c r="BF1576" s="2958">
        <f>P1257</f>
        <v>0</v>
      </c>
      <c r="BG1576" s="2958">
        <f>P1257</f>
        <v>0</v>
      </c>
      <c r="BH1576" s="2958"/>
      <c r="BI1576" s="2958"/>
      <c r="BJ1576" s="2958"/>
      <c r="BK1576" s="2958"/>
      <c r="BL1576" s="2958"/>
    </row>
    <row r="1577" spans="1:64" ht="15">
      <c r="A1577" s="2396"/>
      <c r="B1577" s="2396"/>
      <c r="C1577" s="2399" t="s">
        <v>2108</v>
      </c>
      <c r="D1577" s="2396"/>
      <c r="E1577" s="2396"/>
      <c r="F1577" s="2396"/>
      <c r="G1577" s="2396"/>
      <c r="H1577" s="2396"/>
      <c r="I1577" s="2396"/>
      <c r="J1577" s="2396" t="s">
        <v>3022</v>
      </c>
      <c r="K1577" s="2396"/>
      <c r="L1577" s="2396"/>
      <c r="M1577" s="2396"/>
      <c r="N1577" s="2341"/>
      <c r="O1577" s="2398">
        <v>2</v>
      </c>
      <c r="P1577" s="2398"/>
      <c r="Q1577" s="2396"/>
      <c r="R1577" s="2396"/>
      <c r="S1577" s="2396"/>
      <c r="T1577" s="2396"/>
      <c r="U1577" s="2396"/>
      <c r="V1577" s="2396"/>
      <c r="W1577" s="2396"/>
      <c r="X1577" s="2396"/>
      <c r="Y1577" s="2396"/>
      <c r="Z1577" s="2396"/>
      <c r="AA1577" s="2467" t="s">
        <v>280</v>
      </c>
      <c r="AB1577" s="2199" t="s">
        <v>3394</v>
      </c>
      <c r="AC1577" s="2396"/>
      <c r="AD1577" s="2396"/>
      <c r="AE1577" s="2396"/>
      <c r="AF1577" s="2396"/>
      <c r="AG1577" s="2958">
        <v>7</v>
      </c>
      <c r="AH1577" s="2958">
        <v>5</v>
      </c>
      <c r="AI1577" s="2958"/>
      <c r="AJ1577" s="2958"/>
      <c r="AK1577" s="2958"/>
      <c r="AL1577" s="2958"/>
      <c r="AM1577" s="2958"/>
      <c r="AN1577" s="2198"/>
      <c r="AO1577" s="2198"/>
      <c r="AP1577" s="2198"/>
      <c r="AQ1577" s="2198"/>
      <c r="AR1577" s="2396"/>
      <c r="AS1577" s="2467" t="s">
        <v>280</v>
      </c>
      <c r="AT1577" s="2199" t="s">
        <v>3394</v>
      </c>
      <c r="AU1577" s="2396"/>
      <c r="AV1577" s="2396"/>
      <c r="AW1577" s="2396"/>
      <c r="AX1577" s="2396"/>
      <c r="AY1577" s="3006">
        <f>O1273</f>
        <v>0</v>
      </c>
      <c r="AZ1577" s="3006">
        <f>O1273</f>
        <v>0</v>
      </c>
      <c r="BA1577" s="2958"/>
      <c r="BB1577" s="2958"/>
      <c r="BC1577" s="2958"/>
      <c r="BD1577" s="2958"/>
      <c r="BE1577" s="2958"/>
      <c r="BF1577" s="3006">
        <f>P1273</f>
        <v>0</v>
      </c>
      <c r="BG1577" s="3006">
        <f>P1273</f>
        <v>0</v>
      </c>
      <c r="BH1577" s="2958"/>
      <c r="BI1577" s="2958"/>
      <c r="BJ1577" s="2958"/>
      <c r="BK1577" s="2958"/>
      <c r="BL1577" s="2958"/>
    </row>
    <row r="1578" spans="1:64" ht="15">
      <c r="A1578" s="2396"/>
      <c r="B1578" s="2396"/>
      <c r="C1578" s="2396"/>
      <c r="D1578" s="2396"/>
      <c r="E1578" s="2396"/>
      <c r="F1578" s="2396"/>
      <c r="G1578" s="2396"/>
      <c r="H1578" s="2396"/>
      <c r="I1578" s="2396"/>
      <c r="J1578" s="2396" t="s">
        <v>3023</v>
      </c>
      <c r="K1578" s="2396"/>
      <c r="L1578" s="2396"/>
      <c r="M1578" s="2396"/>
      <c r="N1578" s="2341"/>
      <c r="O1578" s="2398">
        <v>2</v>
      </c>
      <c r="P1578" s="2398"/>
      <c r="Q1578" s="2396"/>
      <c r="R1578" s="2396"/>
      <c r="S1578" s="2396"/>
      <c r="T1578" s="2396"/>
      <c r="U1578" s="2396"/>
      <c r="V1578" s="2396"/>
      <c r="W1578" s="2396"/>
      <c r="X1578" s="2396"/>
      <c r="Y1578" s="2396"/>
      <c r="Z1578" s="2396"/>
      <c r="AA1578" s="2467" t="s">
        <v>401</v>
      </c>
      <c r="AB1578" s="2199" t="s">
        <v>3395</v>
      </c>
      <c r="AC1578" s="2396"/>
      <c r="AD1578" s="2396"/>
      <c r="AE1578" s="2396"/>
      <c r="AF1578" s="2396"/>
      <c r="AG1578" s="2958">
        <v>3</v>
      </c>
      <c r="AH1578" s="2958"/>
      <c r="AI1578" s="2958"/>
      <c r="AJ1578" s="2958"/>
      <c r="AK1578" s="2958"/>
      <c r="AL1578" s="2958"/>
      <c r="AM1578" s="2958"/>
      <c r="AN1578" s="2199" t="s">
        <v>6556</v>
      </c>
      <c r="AO1578" s="2199"/>
      <c r="AP1578" s="2199"/>
      <c r="AQ1578" s="2311"/>
      <c r="AR1578" s="2396"/>
      <c r="AS1578" s="2467" t="s">
        <v>401</v>
      </c>
      <c r="AT1578" s="2199" t="s">
        <v>3395</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5">
      <c r="A1579" s="2396"/>
      <c r="B1579" s="2396"/>
      <c r="C1579" s="2396"/>
      <c r="D1579" s="2396"/>
      <c r="E1579" s="2396"/>
      <c r="F1579" s="2396"/>
      <c r="G1579" s="2396" t="s">
        <v>1407</v>
      </c>
      <c r="H1579" s="2396"/>
      <c r="I1579" s="2396"/>
      <c r="J1579" s="2396" t="s">
        <v>3024</v>
      </c>
      <c r="K1579" s="2396"/>
      <c r="L1579" s="2396"/>
      <c r="M1579" s="2396"/>
      <c r="N1579" s="2341"/>
      <c r="O1579" s="2398">
        <v>2</v>
      </c>
      <c r="P1579" s="2398"/>
      <c r="Q1579" s="2396"/>
      <c r="R1579" s="2396"/>
      <c r="S1579" s="2396"/>
      <c r="T1579" s="2396"/>
      <c r="U1579" s="2396"/>
      <c r="V1579" s="2396"/>
      <c r="W1579" s="2396"/>
      <c r="X1579" s="2396"/>
      <c r="Y1579" s="2396"/>
      <c r="Z1579" s="2396"/>
      <c r="AA1579" s="2467" t="s">
        <v>342</v>
      </c>
      <c r="AB1579" s="2199" t="s">
        <v>4038</v>
      </c>
      <c r="AC1579" s="2396"/>
      <c r="AD1579" s="2396"/>
      <c r="AE1579" s="2396"/>
      <c r="AF1579" s="2396"/>
      <c r="AG1579" s="2958">
        <v>10</v>
      </c>
      <c r="AH1579" s="2958">
        <v>5</v>
      </c>
      <c r="AI1579" s="2958"/>
      <c r="AJ1579" s="2958"/>
      <c r="AK1579" s="2958"/>
      <c r="AL1579" s="2958"/>
      <c r="AM1579" s="2958"/>
      <c r="AN1579" s="2199" t="s">
        <v>3306</v>
      </c>
      <c r="AO1579" s="2199"/>
      <c r="AP1579" s="2199"/>
      <c r="AQ1579" s="2311"/>
      <c r="AR1579" s="2396"/>
      <c r="AS1579" s="2467" t="s">
        <v>342</v>
      </c>
      <c r="AT1579" s="2199" t="s">
        <v>4038</v>
      </c>
      <c r="AU1579" s="2396"/>
      <c r="AV1579" s="2396"/>
      <c r="AW1579" s="2396"/>
      <c r="AX1579" s="2396"/>
      <c r="AY1579" s="3006">
        <f>O1303</f>
        <v>7</v>
      </c>
      <c r="AZ1579" s="3006">
        <f>O1303</f>
        <v>7</v>
      </c>
      <c r="BA1579" s="2958"/>
      <c r="BB1579" s="2958"/>
      <c r="BC1579" s="2958"/>
      <c r="BD1579" s="2958"/>
      <c r="BE1579" s="2958"/>
      <c r="BF1579" s="3006">
        <f>P1303</f>
        <v>0</v>
      </c>
      <c r="BG1579" s="3006">
        <f>P1303</f>
        <v>0</v>
      </c>
      <c r="BH1579" s="2958"/>
      <c r="BI1579" s="2958"/>
      <c r="BJ1579" s="2958"/>
      <c r="BK1579" s="2958"/>
      <c r="BL1579" s="2958"/>
    </row>
    <row r="1580" spans="1:64" ht="15">
      <c r="A1580" s="2396"/>
      <c r="B1580" s="2396"/>
      <c r="C1580" s="2396"/>
      <c r="D1580" s="2396"/>
      <c r="E1580" s="2396"/>
      <c r="F1580" s="2396"/>
      <c r="G1580" s="2401" t="s">
        <v>4063</v>
      </c>
      <c r="H1580" s="2396" t="s">
        <v>4064</v>
      </c>
      <c r="I1580" s="2401" t="s">
        <v>4062</v>
      </c>
      <c r="J1580" s="2396" t="s">
        <v>3025</v>
      </c>
      <c r="K1580" s="2396"/>
      <c r="L1580" s="2401"/>
      <c r="M1580" s="2396"/>
      <c r="N1580" s="2341"/>
      <c r="O1580" s="2398">
        <v>2</v>
      </c>
      <c r="P1580" s="2398"/>
      <c r="Q1580" s="2396"/>
      <c r="R1580" s="2396"/>
      <c r="S1580" s="2396"/>
      <c r="T1580" s="2396"/>
      <c r="U1580" s="2396"/>
      <c r="V1580" s="2396"/>
      <c r="W1580" s="2396"/>
      <c r="X1580" s="2396"/>
      <c r="Y1580" s="2396"/>
      <c r="Z1580" s="2396"/>
      <c r="AA1580" s="2467" t="s">
        <v>343</v>
      </c>
      <c r="AB1580" s="2199" t="s">
        <v>6127</v>
      </c>
      <c r="AC1580" s="2396"/>
      <c r="AD1580" s="2396"/>
      <c r="AE1580" s="2396"/>
      <c r="AF1580" s="2396"/>
      <c r="AG1580" s="2958">
        <v>1</v>
      </c>
      <c r="AH1580" s="2958"/>
      <c r="AI1580" s="2958"/>
      <c r="AJ1580" s="2958"/>
      <c r="AK1580" s="2958"/>
      <c r="AL1580" s="2958"/>
      <c r="AM1580" s="2958"/>
      <c r="AN1580" s="2199" t="s">
        <v>6142</v>
      </c>
      <c r="AO1580" s="2199"/>
      <c r="AP1580" s="2199"/>
      <c r="AQ1580" s="2311"/>
      <c r="AR1580" s="2396"/>
      <c r="AS1580" s="2467" t="s">
        <v>343</v>
      </c>
      <c r="AT1580" s="2199" t="s">
        <v>6127</v>
      </c>
      <c r="AU1580" s="2396"/>
      <c r="AV1580" s="2396"/>
      <c r="AW1580" s="2396"/>
      <c r="AX1580" s="2396"/>
      <c r="AY1580" s="3006">
        <f>O1322</f>
        <v>1</v>
      </c>
      <c r="AZ1580" s="2958"/>
      <c r="BA1580" s="2958"/>
      <c r="BB1580" s="2958"/>
      <c r="BC1580" s="2958"/>
      <c r="BD1580" s="2958"/>
      <c r="BE1580" s="2958"/>
      <c r="BF1580" s="3006">
        <f>P1322</f>
        <v>0</v>
      </c>
      <c r="BG1580" s="2958"/>
      <c r="BH1580" s="2958"/>
      <c r="BI1580" s="2958"/>
      <c r="BJ1580" s="2958"/>
      <c r="BK1580" s="2958"/>
      <c r="BL1580" s="2958"/>
    </row>
    <row r="1581" spans="1:64" ht="15">
      <c r="A1581" s="2396"/>
      <c r="B1581" s="2396"/>
      <c r="C1581" s="2402"/>
      <c r="D1581" s="2396"/>
      <c r="E1581" s="2396"/>
      <c r="F1581" s="2396"/>
      <c r="G1581" s="2403" t="s">
        <v>2320</v>
      </c>
      <c r="H1581" s="2396"/>
      <c r="I1581" s="2403"/>
      <c r="J1581" s="2396" t="s">
        <v>3249</v>
      </c>
      <c r="K1581" s="2396"/>
      <c r="L1581" s="2403"/>
      <c r="M1581" s="2396"/>
      <c r="N1581" s="2341"/>
      <c r="O1581" s="2398">
        <v>2</v>
      </c>
      <c r="P1581" s="2398"/>
      <c r="Q1581" s="2396"/>
      <c r="R1581" s="2396"/>
      <c r="S1581" s="2396"/>
      <c r="T1581" s="2396"/>
      <c r="U1581" s="2396"/>
      <c r="V1581" s="2396"/>
      <c r="W1581" s="2396"/>
      <c r="X1581" s="2396"/>
      <c r="Y1581" s="2396"/>
      <c r="Z1581" s="2396"/>
      <c r="AA1581" s="2467" t="s">
        <v>344</v>
      </c>
      <c r="AB1581" s="2199" t="s">
        <v>3261</v>
      </c>
      <c r="AC1581" s="2396"/>
      <c r="AD1581" s="2396"/>
      <c r="AE1581" s="2396"/>
      <c r="AF1581" s="2396"/>
      <c r="AG1581" s="2958">
        <v>10</v>
      </c>
      <c r="AH1581" s="2958">
        <v>5</v>
      </c>
      <c r="AI1581" s="2958"/>
      <c r="AJ1581" s="2958"/>
      <c r="AK1581" s="2958"/>
      <c r="AL1581" s="2958"/>
      <c r="AM1581" s="2958"/>
      <c r="AN1581" s="2199" t="s">
        <v>6511</v>
      </c>
      <c r="AO1581" s="2199"/>
      <c r="AP1581" s="2199" t="s">
        <v>6945</v>
      </c>
      <c r="AQ1581" s="2311" t="str">
        <f>'Part VIII Scoring Criteria'!AQ430</f>
        <v/>
      </c>
      <c r="AR1581" s="2396"/>
      <c r="AS1581" s="2467" t="s">
        <v>344</v>
      </c>
      <c r="AT1581" s="2199" t="s">
        <v>3261</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5">
      <c r="A1582" s="2396"/>
      <c r="B1582" s="2396"/>
      <c r="C1582" s="2402"/>
      <c r="D1582" s="2396"/>
      <c r="E1582" s="2396"/>
      <c r="F1582" s="2396"/>
      <c r="G1582" s="2403" t="s">
        <v>436</v>
      </c>
      <c r="H1582" s="2341" t="s">
        <v>4066</v>
      </c>
      <c r="I1582" s="2401" t="s">
        <v>2453</v>
      </c>
      <c r="J1582" s="2396" t="s">
        <v>3026</v>
      </c>
      <c r="K1582" s="2396"/>
      <c r="L1582" s="2402"/>
      <c r="M1582" s="2396"/>
      <c r="N1582" s="2341"/>
      <c r="O1582" s="2398">
        <v>1</v>
      </c>
      <c r="P1582" s="2398"/>
      <c r="Q1582" s="2396"/>
      <c r="R1582" s="2396"/>
      <c r="S1582" s="2396"/>
      <c r="T1582" s="2396"/>
      <c r="U1582" s="2396"/>
      <c r="V1582" s="2396"/>
      <c r="W1582" s="2396"/>
      <c r="X1582" s="2396"/>
      <c r="Y1582" s="2396"/>
      <c r="Z1582" s="2396"/>
      <c r="AA1582" s="2467" t="s">
        <v>1604</v>
      </c>
      <c r="AB1582" s="2199" t="s">
        <v>6128</v>
      </c>
      <c r="AC1582" s="2396"/>
      <c r="AD1582" s="2396"/>
      <c r="AE1582" s="2396"/>
      <c r="AF1582" s="2396"/>
      <c r="AG1582" s="2958">
        <v>3</v>
      </c>
      <c r="AH1582" s="2958"/>
      <c r="AI1582" s="2958"/>
      <c r="AJ1582" s="2958"/>
      <c r="AK1582" s="2958"/>
      <c r="AL1582" s="2958"/>
      <c r="AM1582" s="2958"/>
      <c r="AO1582" s="2199"/>
      <c r="AP1582" s="2399" t="s">
        <v>6141</v>
      </c>
      <c r="AQ1582" s="2311" t="str">
        <f>'Part VIII Scoring Criteria'!AQ431</f>
        <v/>
      </c>
      <c r="AR1582" s="2396"/>
      <c r="AS1582" s="2467" t="s">
        <v>1604</v>
      </c>
      <c r="AT1582" s="2199" t="s">
        <v>6128</v>
      </c>
      <c r="AU1582" s="2396"/>
      <c r="AV1582" s="2396"/>
      <c r="AW1582" s="2396"/>
      <c r="AX1582" s="2396"/>
      <c r="AY1582" s="3006">
        <f>O1340</f>
        <v>0</v>
      </c>
      <c r="AZ1582" s="2958"/>
      <c r="BA1582" s="2958"/>
      <c r="BB1582" s="2958"/>
      <c r="BC1582" s="2958"/>
      <c r="BD1582" s="2958"/>
      <c r="BE1582" s="2958"/>
      <c r="BF1582" s="3006">
        <f>P1340</f>
        <v>0</v>
      </c>
      <c r="BG1582" s="2958"/>
      <c r="BH1582" s="2958"/>
      <c r="BI1582" s="2958"/>
      <c r="BJ1582" s="2958"/>
      <c r="BK1582" s="2958"/>
      <c r="BL1582" s="2958"/>
    </row>
    <row r="1583" spans="1:64" ht="15">
      <c r="A1583" s="2396"/>
      <c r="B1583" s="2396"/>
      <c r="C1583" s="2402"/>
      <c r="D1583" s="2396"/>
      <c r="E1583" s="2396"/>
      <c r="F1583" s="2396"/>
      <c r="G1583" s="2403" t="s">
        <v>1657</v>
      </c>
      <c r="H1583" s="2341">
        <v>2020</v>
      </c>
      <c r="I1583" s="2341" t="s">
        <v>4065</v>
      </c>
      <c r="J1583" s="2396" t="s">
        <v>3027</v>
      </c>
      <c r="K1583" s="2396"/>
      <c r="L1583" s="2402"/>
      <c r="M1583" s="2396"/>
      <c r="N1583" s="2341"/>
      <c r="O1583" s="2398">
        <v>1</v>
      </c>
      <c r="P1583" s="2398"/>
      <c r="Q1583" s="2396"/>
      <c r="R1583" s="2396"/>
      <c r="S1583" s="2396"/>
      <c r="T1583" s="2396"/>
      <c r="U1583" s="2396"/>
      <c r="V1583" s="2396"/>
      <c r="W1583" s="2396"/>
      <c r="X1583" s="2396"/>
      <c r="Y1583" s="2396"/>
      <c r="Z1583" s="2396"/>
      <c r="AA1583" s="2467" t="s">
        <v>3369</v>
      </c>
      <c r="AB1583" s="2199" t="s">
        <v>4042</v>
      </c>
      <c r="AC1583" s="2396"/>
      <c r="AD1583" s="2396"/>
      <c r="AE1583" s="2396"/>
      <c r="AF1583" s="2396"/>
      <c r="AG1583" s="2958">
        <v>5</v>
      </c>
      <c r="AH1583" s="2958"/>
      <c r="AI1583" s="2958"/>
      <c r="AJ1583" s="2958"/>
      <c r="AK1583" s="2958"/>
      <c r="AL1583" s="2958"/>
      <c r="AM1583" s="2958"/>
      <c r="AN1583" s="2199"/>
      <c r="AO1583" s="2199"/>
      <c r="AP1583" s="2399" t="s">
        <v>6557</v>
      </c>
      <c r="AQ1583" s="2311" t="str">
        <f>'Part VIII Scoring Criteria'!AQ432</f>
        <v/>
      </c>
      <c r="AR1583" s="2396"/>
      <c r="AS1583" s="2467" t="s">
        <v>3369</v>
      </c>
      <c r="AT1583" s="2199" t="s">
        <v>4042</v>
      </c>
      <c r="AU1583" s="2396"/>
      <c r="AV1583" s="2396"/>
      <c r="AW1583" s="2396"/>
      <c r="AX1583" s="2396"/>
      <c r="AY1583" s="3006">
        <f>O1351</f>
        <v>5</v>
      </c>
      <c r="AZ1583" s="2958"/>
      <c r="BA1583" s="2958"/>
      <c r="BB1583" s="2958"/>
      <c r="BC1583" s="2958"/>
      <c r="BD1583" s="2958"/>
      <c r="BE1583" s="2958"/>
      <c r="BF1583" s="3006">
        <f>P1351</f>
        <v>0</v>
      </c>
      <c r="BG1583" s="2958"/>
      <c r="BH1583" s="2958"/>
      <c r="BI1583" s="2958"/>
      <c r="BJ1583" s="2958"/>
      <c r="BK1583" s="2958"/>
      <c r="BL1583" s="2958"/>
    </row>
    <row r="1584" spans="1:64" ht="15">
      <c r="A1584" s="2396"/>
      <c r="B1584" s="2396"/>
      <c r="C1584" s="2402"/>
      <c r="D1584" s="2396"/>
      <c r="E1584" s="2396"/>
      <c r="F1584" s="2396"/>
      <c r="G1584" s="2403" t="s">
        <v>2351</v>
      </c>
      <c r="H1584" s="2341" t="s">
        <v>1610</v>
      </c>
      <c r="I1584" s="2401" t="s">
        <v>2453</v>
      </c>
      <c r="J1584" s="2396" t="s">
        <v>3028</v>
      </c>
      <c r="K1584" s="2396"/>
      <c r="L1584" s="2402"/>
      <c r="M1584" s="2396"/>
      <c r="N1584" s="2341"/>
      <c r="O1584" s="2398">
        <v>1</v>
      </c>
      <c r="P1584" s="2398"/>
      <c r="Q1584" s="2396"/>
      <c r="R1584" s="2396"/>
      <c r="S1584" s="2396"/>
      <c r="T1584" s="2396"/>
      <c r="U1584" s="2396"/>
      <c r="V1584" s="2396"/>
      <c r="W1584" s="2396"/>
      <c r="X1584" s="2396"/>
      <c r="Y1584" s="2396"/>
      <c r="Z1584" s="2396"/>
      <c r="AA1584" s="2467" t="s">
        <v>2080</v>
      </c>
      <c r="AB1584" s="2199" t="s">
        <v>3803</v>
      </c>
      <c r="AC1584" s="2396"/>
      <c r="AD1584" s="2396"/>
      <c r="AE1584" s="2396"/>
      <c r="AF1584" s="2396"/>
      <c r="AG1584" s="2958">
        <v>4</v>
      </c>
      <c r="AH1584" s="2958">
        <v>4</v>
      </c>
      <c r="AI1584" s="2958">
        <v>4</v>
      </c>
      <c r="AJ1584" s="2958">
        <v>4</v>
      </c>
      <c r="AK1584" s="2958">
        <v>4</v>
      </c>
      <c r="AL1584" s="2958">
        <v>4</v>
      </c>
      <c r="AM1584" s="2958">
        <v>4</v>
      </c>
      <c r="AN1584" s="2199"/>
      <c r="AO1584" s="2199"/>
      <c r="AP1584" s="2399" t="s">
        <v>6558</v>
      </c>
      <c r="AQ1584" s="2311" t="str">
        <f>'Part VIII Scoring Criteria'!AQ433</f>
        <v/>
      </c>
      <c r="AR1584" s="2396"/>
      <c r="AS1584" s="2467" t="s">
        <v>2080</v>
      </c>
      <c r="AT1584" s="2199" t="s">
        <v>3803</v>
      </c>
      <c r="AU1584" s="2396"/>
      <c r="AV1584" s="2396"/>
      <c r="AW1584" s="2396"/>
      <c r="AX1584" s="2396"/>
      <c r="AY1584" s="3006">
        <f>O1361</f>
        <v>4</v>
      </c>
      <c r="AZ1584" s="3006">
        <f>O1361</f>
        <v>4</v>
      </c>
      <c r="BA1584" s="3006">
        <f>O1361</f>
        <v>4</v>
      </c>
      <c r="BB1584" s="3006">
        <f>O1361</f>
        <v>4</v>
      </c>
      <c r="BC1584" s="3006">
        <f>O1361</f>
        <v>4</v>
      </c>
      <c r="BD1584" s="3006">
        <f>O1361</f>
        <v>4</v>
      </c>
      <c r="BE1584" s="3006">
        <f>O1361</f>
        <v>4</v>
      </c>
      <c r="BF1584" s="3006">
        <f>P1361</f>
        <v>0</v>
      </c>
      <c r="BG1584" s="3006">
        <f>P1361</f>
        <v>0</v>
      </c>
      <c r="BH1584" s="3006">
        <f>P1361</f>
        <v>0</v>
      </c>
      <c r="BI1584" s="3006">
        <f>P1361</f>
        <v>0</v>
      </c>
      <c r="BJ1584" s="3006">
        <f>P1361</f>
        <v>0</v>
      </c>
      <c r="BK1584" s="3006">
        <f>P1361</f>
        <v>0</v>
      </c>
      <c r="BL1584" s="3006">
        <f>P1361</f>
        <v>0</v>
      </c>
    </row>
    <row r="1585" spans="1:64" ht="15">
      <c r="A1585" s="2396"/>
      <c r="B1585" s="2396"/>
      <c r="C1585" s="2402"/>
      <c r="D1585" s="2396"/>
      <c r="E1585" s="2396"/>
      <c r="F1585" s="2396"/>
      <c r="G1585" s="2403" t="s">
        <v>971</v>
      </c>
      <c r="H1585" s="2341">
        <v>2020</v>
      </c>
      <c r="I1585" s="2341" t="s">
        <v>4065</v>
      </c>
      <c r="J1585" s="2396" t="s">
        <v>3250</v>
      </c>
      <c r="K1585" s="2396"/>
      <c r="L1585" s="2402"/>
      <c r="M1585" s="2396"/>
      <c r="N1585" s="2341"/>
      <c r="O1585" s="2398">
        <v>1</v>
      </c>
      <c r="P1585" s="2398"/>
      <c r="Q1585" s="2396"/>
      <c r="R1585" s="2396"/>
      <c r="S1585" s="2396"/>
      <c r="T1585" s="2396"/>
      <c r="U1585" s="2396"/>
      <c r="V1585" s="2396"/>
      <c r="W1585" s="2396"/>
      <c r="X1585" s="2396"/>
      <c r="Y1585" s="2396"/>
      <c r="Z1585" s="2396"/>
      <c r="AA1585" s="2467" t="s">
        <v>3369</v>
      </c>
      <c r="AB1585" s="2199" t="s">
        <v>6548</v>
      </c>
      <c r="AC1585" s="2396"/>
      <c r="AD1585" s="2396"/>
      <c r="AE1585" s="2396"/>
      <c r="AF1585" s="2396"/>
      <c r="AG1585" s="2958">
        <v>2</v>
      </c>
      <c r="AH1585" s="2958"/>
      <c r="AI1585" s="2958"/>
      <c r="AJ1585" s="2958"/>
      <c r="AK1585" s="2958"/>
      <c r="AL1585" s="2958"/>
      <c r="AM1585" s="2958"/>
      <c r="AN1585" s="2199" t="s">
        <v>2444</v>
      </c>
      <c r="AO1585" s="2199"/>
      <c r="AP1585" s="2199"/>
      <c r="AQ1585" s="2311"/>
      <c r="AR1585" s="2396"/>
      <c r="AS1585" s="2467" t="s">
        <v>3369</v>
      </c>
      <c r="AT1585" s="2199" t="s">
        <v>6548</v>
      </c>
      <c r="AU1585" s="2396"/>
      <c r="AV1585" s="2396"/>
      <c r="AW1585" s="2396"/>
      <c r="AX1585" s="2396"/>
      <c r="AY1585" s="3006">
        <f>O1374</f>
        <v>0</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5">
      <c r="A1586" s="2396"/>
      <c r="B1586" s="2396"/>
      <c r="C1586" s="2402"/>
      <c r="D1586" s="2396"/>
      <c r="E1586" s="2396"/>
      <c r="F1586" s="2396"/>
      <c r="G1586" s="2403" t="s">
        <v>3272</v>
      </c>
      <c r="H1586" s="2341">
        <v>2019</v>
      </c>
      <c r="I1586" s="2341" t="s">
        <v>4065</v>
      </c>
      <c r="J1586" s="2396" t="s">
        <v>3036</v>
      </c>
      <c r="K1586" s="2396"/>
      <c r="L1586" s="2402"/>
      <c r="M1586" s="2396"/>
      <c r="N1586" s="2341"/>
      <c r="O1586" s="2398">
        <v>1</v>
      </c>
      <c r="P1586" s="2398"/>
      <c r="Q1586" s="2396"/>
      <c r="R1586" s="2396"/>
      <c r="S1586" s="2396"/>
      <c r="T1586" s="2396"/>
      <c r="U1586" s="2396"/>
      <c r="V1586" s="2396"/>
      <c r="W1586" s="2396"/>
      <c r="X1586" s="2396"/>
      <c r="Y1586" s="2396"/>
      <c r="Z1586" s="2396"/>
      <c r="AA1586" s="2467" t="s">
        <v>3370</v>
      </c>
      <c r="AB1586" s="2199" t="s">
        <v>6549</v>
      </c>
      <c r="AC1586" s="2396"/>
      <c r="AD1586" s="2396"/>
      <c r="AE1586" s="2396"/>
      <c r="AF1586" s="2396"/>
      <c r="AG1586" s="2958">
        <v>2</v>
      </c>
      <c r="AH1586" s="2958">
        <v>2</v>
      </c>
      <c r="AI1586" s="2958">
        <v>2</v>
      </c>
      <c r="AJ1586" s="2958">
        <v>2</v>
      </c>
      <c r="AK1586" s="2958">
        <v>2</v>
      </c>
      <c r="AL1586" s="2958">
        <v>2</v>
      </c>
      <c r="AM1586" s="2958">
        <v>2</v>
      </c>
      <c r="AN1586" s="2199" t="s">
        <v>6559</v>
      </c>
      <c r="AO1586" s="2199"/>
      <c r="AP1586" s="2199"/>
      <c r="AQ1586" s="2311"/>
      <c r="AR1586" s="2396"/>
      <c r="AS1586" s="2467" t="s">
        <v>3370</v>
      </c>
      <c r="AT1586" s="2199" t="s">
        <v>6549</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5">
      <c r="A1587" s="2396"/>
      <c r="B1587" s="2396"/>
      <c r="C1587" s="2402"/>
      <c r="D1587" s="2396"/>
      <c r="E1587" s="2396"/>
      <c r="F1587" s="2396"/>
      <c r="G1587" s="2403" t="s">
        <v>340</v>
      </c>
      <c r="H1587" s="2341" t="s">
        <v>1610</v>
      </c>
      <c r="I1587" s="2401" t="s">
        <v>2453</v>
      </c>
      <c r="J1587" s="2396" t="s">
        <v>3029</v>
      </c>
      <c r="K1587" s="2396"/>
      <c r="L1587" s="2402"/>
      <c r="M1587" s="2396"/>
      <c r="N1587" s="2341"/>
      <c r="O1587" s="2398">
        <v>1</v>
      </c>
      <c r="P1587" s="2398"/>
      <c r="Q1587" s="2396"/>
      <c r="R1587" s="2396"/>
      <c r="S1587" s="2396"/>
      <c r="T1587" s="2396"/>
      <c r="U1587" s="2396"/>
      <c r="V1587" s="2396"/>
      <c r="W1587" s="2396"/>
      <c r="X1587" s="2396"/>
      <c r="Y1587" s="2396"/>
      <c r="Z1587" s="2396"/>
      <c r="AA1587" s="2467" t="s">
        <v>3368</v>
      </c>
      <c r="AB1587" s="2199" t="s">
        <v>6554</v>
      </c>
      <c r="AC1587" s="2396"/>
      <c r="AD1587" s="2396"/>
      <c r="AE1587" s="2396"/>
      <c r="AF1587" s="2396"/>
      <c r="AG1587" s="2958">
        <v>2</v>
      </c>
      <c r="AH1587" s="2958"/>
      <c r="AI1587" s="2958"/>
      <c r="AJ1587" s="2958"/>
      <c r="AK1587" s="2958">
        <v>2</v>
      </c>
      <c r="AL1587" s="2958">
        <v>2</v>
      </c>
      <c r="AM1587" s="2958">
        <v>2</v>
      </c>
      <c r="AN1587" s="2199" t="s">
        <v>6560</v>
      </c>
      <c r="AO1587" s="2199"/>
      <c r="AP1587" s="2199"/>
      <c r="AQ1587" s="2499" t="str">
        <f>'Part II-Sources of Funds'!$L$14</f>
        <v>No</v>
      </c>
      <c r="AR1587" s="2396"/>
      <c r="AS1587" s="2467" t="s">
        <v>3368</v>
      </c>
      <c r="AT1587" s="2199" t="s">
        <v>6554</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5">
      <c r="A1588" s="2396"/>
      <c r="B1588" s="2396"/>
      <c r="C1588" s="2402"/>
      <c r="D1588" s="2396"/>
      <c r="E1588" s="2396"/>
      <c r="F1588" s="2396"/>
      <c r="G1588" s="2403" t="s">
        <v>1633</v>
      </c>
      <c r="H1588" s="2341">
        <v>2020</v>
      </c>
      <c r="I1588" s="2341" t="s">
        <v>4065</v>
      </c>
      <c r="J1588" s="2396" t="s">
        <v>3030</v>
      </c>
      <c r="K1588" s="2396"/>
      <c r="L1588" s="2402"/>
      <c r="M1588" s="2396"/>
      <c r="N1588" s="2341"/>
      <c r="O1588" s="2398">
        <v>1</v>
      </c>
      <c r="P1588" s="2398"/>
      <c r="Q1588" s="2396"/>
      <c r="R1588" s="2396"/>
      <c r="S1588" s="2396"/>
      <c r="T1588" s="2396"/>
      <c r="U1588" s="2396"/>
      <c r="V1588" s="2396"/>
      <c r="W1588" s="2396"/>
      <c r="X1588" s="2396"/>
      <c r="Y1588" s="2396"/>
      <c r="Z1588" s="2396"/>
      <c r="AA1588" s="2467" t="s">
        <v>3371</v>
      </c>
      <c r="AB1588" s="2199" t="s">
        <v>6129</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3371</v>
      </c>
      <c r="AT1588" s="2199" t="s">
        <v>6129</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5">
      <c r="A1589" s="2396"/>
      <c r="B1589" s="2396"/>
      <c r="C1589" s="2402"/>
      <c r="D1589" s="2396"/>
      <c r="E1589" s="2396"/>
      <c r="F1589" s="2396"/>
      <c r="G1589" s="2403" t="s">
        <v>1909</v>
      </c>
      <c r="H1589" s="2341" t="s">
        <v>4066</v>
      </c>
      <c r="I1589" s="2401" t="s">
        <v>2453</v>
      </c>
      <c r="J1589" s="2396" t="s">
        <v>3031</v>
      </c>
      <c r="K1589" s="2396"/>
      <c r="L1589" s="2402"/>
      <c r="M1589" s="2396"/>
      <c r="N1589" s="2341"/>
      <c r="O1589" s="2398">
        <v>1</v>
      </c>
      <c r="P1589" s="2398"/>
      <c r="Q1589" s="2396"/>
      <c r="R1589" s="2396"/>
      <c r="S1589" s="2396"/>
      <c r="T1589" s="2396"/>
      <c r="U1589" s="2396"/>
      <c r="V1589" s="2396"/>
      <c r="W1589" s="2396"/>
      <c r="X1589" s="2396"/>
      <c r="Y1589" s="2396"/>
      <c r="Z1589" s="2396"/>
      <c r="AA1589" s="2467" t="s">
        <v>3372</v>
      </c>
      <c r="AB1589" s="2199" t="s">
        <v>3396</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3372</v>
      </c>
      <c r="AT1589" s="2199" t="s">
        <v>3396</v>
      </c>
      <c r="AU1589" s="2396"/>
      <c r="AV1589" s="2396"/>
      <c r="AW1589" s="2396"/>
      <c r="AX1589" s="2396"/>
      <c r="AY1589" s="3006">
        <f>O1422</f>
        <v>0</v>
      </c>
      <c r="AZ1589" s="3006"/>
      <c r="BA1589" s="3006"/>
      <c r="BB1589" s="3006"/>
      <c r="BC1589" s="3006">
        <f>O1422</f>
        <v>0</v>
      </c>
      <c r="BD1589" s="3006">
        <f>O1422</f>
        <v>0</v>
      </c>
      <c r="BE1589" s="3006">
        <f>O1422</f>
        <v>0</v>
      </c>
      <c r="BF1589" s="3006">
        <f>P1422</f>
        <v>0</v>
      </c>
      <c r="BG1589" s="3006"/>
      <c r="BH1589" s="3006"/>
      <c r="BI1589" s="3006"/>
      <c r="BJ1589" s="3006">
        <f>P1422</f>
        <v>0</v>
      </c>
      <c r="BK1589" s="3006">
        <f>P1422</f>
        <v>0</v>
      </c>
      <c r="BL1589" s="3006">
        <f>P1422</f>
        <v>0</v>
      </c>
    </row>
    <row r="1590" spans="1:64" ht="15">
      <c r="A1590" s="2396"/>
      <c r="B1590" s="2396"/>
      <c r="C1590" s="2396"/>
      <c r="D1590" s="2396"/>
      <c r="E1590" s="2396"/>
      <c r="F1590" s="2396"/>
      <c r="G1590" s="2403" t="s">
        <v>82</v>
      </c>
      <c r="H1590" s="2341" t="s">
        <v>4066</v>
      </c>
      <c r="I1590" s="2401" t="s">
        <v>2453</v>
      </c>
      <c r="J1590" s="2396" t="s">
        <v>3032</v>
      </c>
      <c r="K1590" s="2396"/>
      <c r="L1590" s="2402"/>
      <c r="M1590" s="2396"/>
      <c r="N1590" s="2341"/>
      <c r="O1590" s="2398">
        <v>1</v>
      </c>
      <c r="P1590" s="2398"/>
      <c r="Q1590" s="2396"/>
      <c r="R1590" s="2396"/>
      <c r="S1590" s="2396"/>
      <c r="T1590" s="2396"/>
      <c r="U1590" s="2396"/>
      <c r="V1590" s="2396"/>
      <c r="W1590" s="2396"/>
      <c r="X1590" s="2396"/>
      <c r="Y1590" s="2396"/>
      <c r="Z1590" s="2396"/>
      <c r="AA1590" s="2467" t="s">
        <v>3375</v>
      </c>
      <c r="AB1590" s="2199" t="s">
        <v>3397</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3375</v>
      </c>
      <c r="AT1590" s="2199" t="s">
        <v>3397</v>
      </c>
      <c r="AU1590" s="2396"/>
      <c r="AV1590" s="2396"/>
      <c r="AW1590" s="2396"/>
      <c r="AX1590" s="2396"/>
      <c r="AY1590" s="3006">
        <f>O1431</f>
        <v>0</v>
      </c>
      <c r="AZ1590" s="3006">
        <f>O1431</f>
        <v>0</v>
      </c>
      <c r="BA1590" s="3006">
        <f>O1431</f>
        <v>0</v>
      </c>
      <c r="BB1590" s="3006">
        <f>O1431</f>
        <v>0</v>
      </c>
      <c r="BC1590" s="3006">
        <f>O1431</f>
        <v>0</v>
      </c>
      <c r="BD1590" s="3006">
        <f>O1431</f>
        <v>0</v>
      </c>
      <c r="BE1590" s="3006">
        <f>O1431</f>
        <v>0</v>
      </c>
      <c r="BF1590" s="3006">
        <f>P1431</f>
        <v>0</v>
      </c>
      <c r="BG1590" s="3006">
        <f>P1431</f>
        <v>0</v>
      </c>
      <c r="BH1590" s="3006">
        <f>P1431</f>
        <v>0</v>
      </c>
      <c r="BI1590" s="3006">
        <f>P1431</f>
        <v>0</v>
      </c>
      <c r="BJ1590" s="3006">
        <f>P1431</f>
        <v>0</v>
      </c>
      <c r="BK1590" s="3006">
        <f>P1431</f>
        <v>0</v>
      </c>
      <c r="BL1590" s="3006">
        <f>P1431</f>
        <v>0</v>
      </c>
    </row>
    <row r="1591" spans="1:64" ht="15">
      <c r="A1591" s="2396"/>
      <c r="B1591" s="2396"/>
      <c r="C1591" s="2396"/>
      <c r="D1591" s="2396"/>
      <c r="E1591" s="2396"/>
      <c r="F1591" s="2396"/>
      <c r="G1591" s="2403" t="s">
        <v>837</v>
      </c>
      <c r="H1591" s="2341">
        <v>2019</v>
      </c>
      <c r="I1591" s="2341" t="s">
        <v>4065</v>
      </c>
      <c r="J1591" s="2396" t="s">
        <v>3035</v>
      </c>
      <c r="K1591" s="2396"/>
      <c r="L1591" s="2402"/>
      <c r="M1591" s="2396"/>
      <c r="N1591" s="2341"/>
      <c r="O1591" s="2398">
        <v>1</v>
      </c>
      <c r="P1591" s="2398"/>
      <c r="Q1591" s="2396"/>
      <c r="R1591" s="2396"/>
      <c r="S1591" s="2396"/>
      <c r="T1591" s="2396"/>
      <c r="U1591" s="2396"/>
      <c r="V1591" s="2396"/>
      <c r="W1591" s="2396"/>
      <c r="X1591" s="2396"/>
      <c r="Y1591" s="2396"/>
      <c r="Z1591" s="2396"/>
      <c r="AA1591" s="2467" t="s">
        <v>3376</v>
      </c>
      <c r="AB1591" s="2199" t="s">
        <v>3398</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3376</v>
      </c>
      <c r="AT1591" s="2199" t="s">
        <v>3398</v>
      </c>
      <c r="AU1591" s="2396"/>
      <c r="AV1591" s="2396"/>
      <c r="AW1591" s="2396"/>
      <c r="AX1591" s="2396"/>
      <c r="AY1591" s="3006">
        <f>O1463</f>
        <v>0</v>
      </c>
      <c r="AZ1591" s="3006"/>
      <c r="BA1591" s="3006"/>
      <c r="BB1591" s="3006"/>
      <c r="BC1591" s="3006"/>
      <c r="BD1591" s="3006"/>
      <c r="BE1591" s="3006"/>
      <c r="BF1591" s="3006">
        <f>P1463</f>
        <v>0</v>
      </c>
      <c r="BG1591" s="3006"/>
      <c r="BH1591" s="3006"/>
      <c r="BI1591" s="3006"/>
      <c r="BJ1591" s="3006"/>
      <c r="BK1591" s="3006"/>
      <c r="BL1591" s="3006"/>
    </row>
    <row r="1592" spans="1:64" ht="15">
      <c r="A1592" s="2396" t="s">
        <v>2498</v>
      </c>
      <c r="B1592" s="2396"/>
      <c r="C1592" s="2396"/>
      <c r="D1592" s="2396"/>
      <c r="E1592" s="2396"/>
      <c r="F1592" s="2396"/>
      <c r="G1592" s="2403" t="s">
        <v>1986</v>
      </c>
      <c r="H1592" s="2341" t="s">
        <v>4066</v>
      </c>
      <c r="I1592" s="2401" t="s">
        <v>2453</v>
      </c>
      <c r="J1592" s="2396" t="s">
        <v>3033</v>
      </c>
      <c r="K1592" s="2396"/>
      <c r="L1592" s="2402"/>
      <c r="M1592" s="2396"/>
      <c r="N1592" s="2341"/>
      <c r="O1592" s="2398">
        <v>1</v>
      </c>
      <c r="P1592" s="2398"/>
      <c r="Q1592" s="2396"/>
      <c r="R1592" s="2396"/>
      <c r="S1592" s="2396"/>
      <c r="T1592" s="2396"/>
      <c r="U1592" s="2396"/>
      <c r="V1592" s="2396"/>
      <c r="W1592" s="2396"/>
      <c r="X1592" s="2396"/>
      <c r="Y1592" s="2396"/>
      <c r="Z1592" s="2396"/>
      <c r="AA1592" s="2467" t="s">
        <v>3377</v>
      </c>
      <c r="AB1592" s="2199" t="s">
        <v>6130</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3377</v>
      </c>
      <c r="AT1592" s="2199" t="s">
        <v>6130</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5">
      <c r="A1593" s="2396" t="s">
        <v>2513</v>
      </c>
      <c r="B1593" s="2396"/>
      <c r="C1593" s="2396"/>
      <c r="D1593" s="2396"/>
      <c r="E1593" s="2396"/>
      <c r="F1593" s="2396"/>
      <c r="G1593" s="2403" t="s">
        <v>1907</v>
      </c>
      <c r="H1593" s="2341">
        <v>2019</v>
      </c>
      <c r="I1593" s="2341" t="s">
        <v>4065</v>
      </c>
      <c r="J1593" s="2396" t="s">
        <v>3034</v>
      </c>
      <c r="K1593" s="2396"/>
      <c r="L1593" s="2402"/>
      <c r="M1593" s="2396"/>
      <c r="N1593" s="2341"/>
      <c r="O1593" s="2398">
        <v>1</v>
      </c>
      <c r="P1593" s="2398"/>
      <c r="Q1593" s="2396"/>
      <c r="R1593" s="2396"/>
      <c r="S1593" s="2396"/>
      <c r="T1593" s="2396"/>
      <c r="U1593" s="2396"/>
      <c r="V1593" s="2396"/>
      <c r="W1593" s="2396"/>
      <c r="X1593" s="2396"/>
      <c r="Y1593" s="2396"/>
      <c r="Z1593" s="2396"/>
      <c r="AA1593" s="2467" t="s">
        <v>3378</v>
      </c>
      <c r="AB1593" s="2199" t="s">
        <v>6550</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3378</v>
      </c>
      <c r="AT1593" s="2199" t="s">
        <v>6550</v>
      </c>
      <c r="AU1593" s="2396"/>
      <c r="AV1593" s="2396"/>
      <c r="AW1593" s="2396"/>
      <c r="AX1593" s="2396"/>
      <c r="AY1593" s="3006">
        <f>O1483</f>
        <v>3</v>
      </c>
      <c r="AZ1593" s="3006">
        <f>O1483</f>
        <v>3</v>
      </c>
      <c r="BA1593" s="3006">
        <f>O1483</f>
        <v>3</v>
      </c>
      <c r="BB1593" s="3006">
        <f>O1483</f>
        <v>3</v>
      </c>
      <c r="BC1593" s="3006">
        <f>O1483</f>
        <v>3</v>
      </c>
      <c r="BD1593" s="3006">
        <f>O1483</f>
        <v>3</v>
      </c>
      <c r="BE1593" s="3006">
        <f>O1483</f>
        <v>3</v>
      </c>
      <c r="BF1593" s="3006">
        <f>P1483</f>
        <v>2</v>
      </c>
      <c r="BG1593" s="3006">
        <f>P1483</f>
        <v>2</v>
      </c>
      <c r="BH1593" s="3006">
        <f>P1483</f>
        <v>2</v>
      </c>
      <c r="BI1593" s="3006">
        <f>P1483</f>
        <v>2</v>
      </c>
      <c r="BJ1593" s="3006">
        <f>P1483</f>
        <v>2</v>
      </c>
      <c r="BK1593" s="3006">
        <f>P1483</f>
        <v>2</v>
      </c>
      <c r="BL1593" s="3006">
        <f>P1483</f>
        <v>2</v>
      </c>
    </row>
    <row r="1594" spans="1:64" ht="15">
      <c r="A1594" s="2402" t="s">
        <v>3005</v>
      </c>
      <c r="B1594" s="2396"/>
      <c r="C1594" s="2396"/>
      <c r="D1594" s="2402"/>
      <c r="E1594" s="2402">
        <v>3</v>
      </c>
      <c r="F1594" s="2396"/>
      <c r="G1594" s="2403" t="s">
        <v>322</v>
      </c>
      <c r="H1594" s="2341">
        <v>2019</v>
      </c>
      <c r="I1594" s="2341" t="s">
        <v>4065</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3379</v>
      </c>
      <c r="AB1594" s="2199" t="s">
        <v>6131</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3379</v>
      </c>
      <c r="AT1594" s="2199" t="s">
        <v>6131</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5">
      <c r="A1595" s="2402" t="s">
        <v>3006</v>
      </c>
      <c r="B1595" s="2396"/>
      <c r="C1595" s="2396"/>
      <c r="D1595" s="2402"/>
      <c r="E1595" s="2402">
        <v>2</v>
      </c>
      <c r="F1595" s="2396"/>
      <c r="G1595" s="2403" t="s">
        <v>815</v>
      </c>
      <c r="H1595" s="2341">
        <v>2019</v>
      </c>
      <c r="I1595" s="2341" t="s">
        <v>4065</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3380</v>
      </c>
      <c r="AB1595" s="2199" t="s">
        <v>6914</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3380</v>
      </c>
      <c r="AT1595" s="2199" t="s">
        <v>6914</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5">
      <c r="A1596" s="2402" t="s">
        <v>3007</v>
      </c>
      <c r="B1596" s="2396"/>
      <c r="C1596" s="2396"/>
      <c r="D1596" s="2402"/>
      <c r="E1596" s="2402">
        <v>10</v>
      </c>
      <c r="F1596" s="2396"/>
      <c r="G1596" s="2403" t="s">
        <v>1789</v>
      </c>
      <c r="H1596" s="2341">
        <v>2019</v>
      </c>
      <c r="I1596" s="2341" t="s">
        <v>4065</v>
      </c>
      <c r="J1596" s="2404" t="s">
        <v>3260</v>
      </c>
      <c r="K1596" s="2396"/>
      <c r="L1596" s="2402"/>
      <c r="M1596" s="2396"/>
      <c r="N1596" s="2341"/>
      <c r="O1596" s="2398"/>
      <c r="P1596" s="2398"/>
      <c r="Q1596" s="2396"/>
      <c r="R1596" s="2396"/>
      <c r="S1596" s="2396"/>
      <c r="T1596" s="2396"/>
      <c r="U1596" s="2396"/>
      <c r="V1596" s="2396"/>
      <c r="W1596" s="2396"/>
      <c r="X1596" s="2396"/>
      <c r="Y1596" s="2396"/>
      <c r="Z1596" s="2396"/>
      <c r="AA1596" s="2467" t="s">
        <v>3802</v>
      </c>
      <c r="AB1596" s="2199" t="s">
        <v>6552</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3802</v>
      </c>
      <c r="AT1596" s="2199" t="s">
        <v>6552</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5">
      <c r="A1597" s="2402" t="s">
        <v>2514</v>
      </c>
      <c r="B1597" s="2396"/>
      <c r="C1597" s="2396"/>
      <c r="D1597" s="2402"/>
      <c r="E1597" s="2402"/>
      <c r="F1597" s="2396"/>
      <c r="G1597" s="2403" t="s">
        <v>395</v>
      </c>
      <c r="H1597" s="2341">
        <v>2019</v>
      </c>
      <c r="I1597" s="2341" t="s">
        <v>4065</v>
      </c>
      <c r="J1597" s="2396" t="s">
        <v>3336</v>
      </c>
      <c r="K1597" s="2396"/>
      <c r="L1597" s="2402"/>
      <c r="M1597" s="2396"/>
      <c r="N1597" s="2341"/>
      <c r="O1597" s="2398"/>
      <c r="P1597" s="2398"/>
      <c r="Q1597" s="2396"/>
      <c r="R1597" s="2396"/>
      <c r="S1597" s="2396"/>
      <c r="T1597" s="2396"/>
      <c r="U1597" s="2396"/>
      <c r="V1597" s="2396"/>
      <c r="W1597" s="2396"/>
      <c r="X1597" s="2396"/>
      <c r="Y1597" s="2396"/>
      <c r="Z1597" s="2396"/>
      <c r="AA1597" s="2467" t="s">
        <v>6555</v>
      </c>
      <c r="AB1597" s="2199" t="s">
        <v>6553</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6555</v>
      </c>
      <c r="AT1597" s="2199" t="s">
        <v>6553</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5">
      <c r="A1598" s="2396"/>
      <c r="B1598" s="2396"/>
      <c r="C1598" s="2402"/>
      <c r="D1598" s="2396"/>
      <c r="E1598" s="2396"/>
      <c r="F1598" s="2396"/>
      <c r="G1598" s="2403" t="s">
        <v>921</v>
      </c>
      <c r="H1598" s="2341">
        <v>2020</v>
      </c>
      <c r="I1598" s="2341" t="s">
        <v>4065</v>
      </c>
      <c r="J1598" s="2396" t="s">
        <v>3331</v>
      </c>
      <c r="K1598" s="2396"/>
      <c r="L1598" s="2402"/>
      <c r="M1598" s="2396"/>
      <c r="N1598" s="2341"/>
      <c r="O1598" s="2398"/>
      <c r="P1598" s="2398"/>
      <c r="Q1598" s="2396"/>
      <c r="R1598" s="2396"/>
      <c r="S1598" s="2396"/>
      <c r="T1598" s="2396"/>
      <c r="U1598" s="2396"/>
      <c r="V1598" s="2396"/>
      <c r="W1598" s="2396"/>
      <c r="X1598" s="2396"/>
      <c r="Y1598" s="2396"/>
      <c r="Z1598" s="2396"/>
      <c r="AA1598" s="2467" t="s">
        <v>6921</v>
      </c>
      <c r="AB1598" s="2199" t="s">
        <v>6925</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6921</v>
      </c>
      <c r="AT1598" s="2199" t="s">
        <v>6925</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5">
      <c r="A1599" s="2396"/>
      <c r="B1599" s="2396"/>
      <c r="C1599" s="2402"/>
      <c r="D1599" s="2396"/>
      <c r="E1599" s="2396"/>
      <c r="F1599" s="2396"/>
      <c r="G1599" s="2403" t="s">
        <v>532</v>
      </c>
      <c r="H1599" s="2341">
        <v>2020</v>
      </c>
      <c r="I1599" s="2341" t="s">
        <v>4065</v>
      </c>
      <c r="J1599" s="2396" t="s">
        <v>3253</v>
      </c>
      <c r="K1599" s="2396"/>
      <c r="L1599" s="2402"/>
      <c r="M1599" s="2396"/>
      <c r="N1599" s="2341"/>
      <c r="O1599" s="2398"/>
      <c r="P1599" s="2398"/>
      <c r="Q1599" s="2396"/>
      <c r="R1599" s="2396"/>
      <c r="S1599" s="2396"/>
      <c r="T1599" s="2396"/>
      <c r="U1599" s="2396"/>
      <c r="V1599" s="2396"/>
      <c r="W1599" s="2396"/>
      <c r="X1599" s="2396"/>
      <c r="Y1599" s="2396"/>
      <c r="Z1599" s="2396"/>
      <c r="AA1599" s="2199"/>
      <c r="AB1599" s="2539"/>
      <c r="AC1599" s="2199"/>
      <c r="AD1599" s="2199"/>
      <c r="AE1599" s="2199"/>
      <c r="AF1599" s="2199"/>
      <c r="AG1599" s="2199"/>
      <c r="AH1599" s="2199"/>
      <c r="AI1599" s="2199"/>
      <c r="AJ1599" s="2199"/>
      <c r="AK1599" s="2199"/>
      <c r="AL1599" s="2199"/>
      <c r="AM1599" s="2199"/>
      <c r="AN1599" s="2396"/>
      <c r="AO1599" s="2396"/>
      <c r="AP1599" s="2396"/>
      <c r="AQ1599" s="2396"/>
      <c r="AR1599" s="2396"/>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6"/>
      <c r="B1600" s="2396"/>
      <c r="C1600" s="2402"/>
      <c r="D1600" s="2396"/>
      <c r="E1600" s="2396"/>
      <c r="F1600" s="2396"/>
      <c r="G1600" s="2403" t="s">
        <v>809</v>
      </c>
      <c r="H1600" s="2341" t="s">
        <v>4066</v>
      </c>
      <c r="I1600" s="2401" t="s">
        <v>2453</v>
      </c>
      <c r="J1600" s="2396" t="s">
        <v>3327</v>
      </c>
      <c r="K1600" s="2396"/>
      <c r="L1600" s="2402"/>
      <c r="M1600" s="2396"/>
      <c r="N1600" s="2341"/>
      <c r="O1600" s="2398"/>
      <c r="P1600" s="2398"/>
      <c r="Q1600" s="2396"/>
      <c r="R1600" s="2396"/>
      <c r="S1600" s="2396"/>
      <c r="T1600" s="2396"/>
      <c r="U1600" s="2396"/>
      <c r="V1600" s="2396"/>
      <c r="W1600" s="2396"/>
      <c r="X1600" s="2396"/>
      <c r="Y1600" s="2396"/>
      <c r="Z1600" s="2396"/>
      <c r="AA1600" s="2199"/>
      <c r="AB1600" s="2539"/>
      <c r="AC1600" s="2199"/>
      <c r="AD1600" s="2198" t="s">
        <v>6243</v>
      </c>
      <c r="AE1600" s="2199"/>
      <c r="AF1600" s="2199"/>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9"/>
      <c r="AT1600" s="2199"/>
      <c r="AU1600" s="2199"/>
      <c r="AV1600" s="2199"/>
      <c r="AW1600" s="2199"/>
      <c r="AX1600" s="2199"/>
      <c r="AY1600" s="2541">
        <f>'Part VIII Scoring Criteria'!AY449</f>
        <v>73.5</v>
      </c>
      <c r="AZ1600" s="2541">
        <f>'Part VIII Scoring Criteria'!AZ449</f>
        <v>65.5</v>
      </c>
      <c r="BA1600" s="2541">
        <f>'Part VIII Scoring Criteria'!BA449</f>
        <v>29</v>
      </c>
      <c r="BB1600" s="2541">
        <f>'Part VIII Scoring Criteria'!BB449</f>
        <v>29</v>
      </c>
      <c r="BC1600" s="2541">
        <f>'Part VIII Scoring Criteria'!BC449</f>
        <v>31</v>
      </c>
      <c r="BD1600" s="2541">
        <f>'Part VIII Scoring Criteria'!BD449</f>
        <v>31</v>
      </c>
      <c r="BE1600" s="2541">
        <f>'Part VIII Scoring Criteria'!BE449</f>
        <v>31</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5">
      <c r="A1601" s="2396"/>
      <c r="B1601" s="2396"/>
      <c r="C1601" s="2402"/>
      <c r="D1601" s="2396"/>
      <c r="E1601" s="2396"/>
      <c r="F1601" s="2396"/>
      <c r="G1601" s="2403" t="s">
        <v>3019</v>
      </c>
      <c r="H1601" s="2341">
        <v>2019</v>
      </c>
      <c r="I1601" s="2341" t="s">
        <v>4065</v>
      </c>
      <c r="J1601" s="2396" t="s">
        <v>3254</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5">
      <c r="A1602" s="2396"/>
      <c r="B1602" s="2396"/>
      <c r="C1602" s="2396"/>
      <c r="D1602" s="2396"/>
      <c r="E1602" s="2396"/>
      <c r="F1602" s="2396"/>
      <c r="G1602" s="2403" t="s">
        <v>764</v>
      </c>
      <c r="H1602" s="2341">
        <v>2019</v>
      </c>
      <c r="I1602" s="2341" t="s">
        <v>4065</v>
      </c>
      <c r="J1602" s="2396" t="s">
        <v>3328</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5">
      <c r="A1603" s="2396"/>
      <c r="B1603" s="2396"/>
      <c r="C1603" s="2396"/>
      <c r="D1603" s="2396"/>
      <c r="E1603" s="2396"/>
      <c r="F1603" s="2396"/>
      <c r="G1603" s="2403" t="s">
        <v>172</v>
      </c>
      <c r="H1603" s="2341">
        <v>2019</v>
      </c>
      <c r="I1603" s="2341" t="s">
        <v>4065</v>
      </c>
      <c r="J1603" s="2396" t="s">
        <v>3255</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5">
      <c r="A1604" s="2396"/>
      <c r="B1604" s="2396"/>
      <c r="C1604" s="2396"/>
      <c r="D1604" s="2396"/>
      <c r="E1604" s="2396"/>
      <c r="F1604" s="2396"/>
      <c r="G1604" s="2403" t="s">
        <v>3345</v>
      </c>
      <c r="H1604" s="2341" t="s">
        <v>4066</v>
      </c>
      <c r="I1604" s="2401" t="s">
        <v>2453</v>
      </c>
      <c r="J1604" s="2396" t="s">
        <v>3329</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4.25">
      <c r="A1605" s="2396"/>
      <c r="B1605" s="2396"/>
      <c r="C1605" s="2396"/>
      <c r="D1605" s="2396"/>
      <c r="E1605" s="2396"/>
      <c r="F1605" s="2396"/>
      <c r="G1605" s="2403" t="s">
        <v>507</v>
      </c>
      <c r="H1605" s="2341">
        <v>2020</v>
      </c>
      <c r="I1605" s="2341" t="s">
        <v>4065</v>
      </c>
      <c r="J1605" s="2396" t="s">
        <v>3332</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4.25">
      <c r="A1606" s="2396"/>
      <c r="B1606" s="2396"/>
      <c r="C1606" s="2396"/>
      <c r="D1606" s="2396"/>
      <c r="E1606" s="2396"/>
      <c r="F1606" s="2396"/>
      <c r="G1606" s="2403" t="s">
        <v>376</v>
      </c>
      <c r="H1606" s="2341">
        <v>2020</v>
      </c>
      <c r="I1606" s="2341" t="s">
        <v>4065</v>
      </c>
      <c r="J1606" s="2396" t="s">
        <v>3335</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4.25">
      <c r="A1607" s="2396"/>
      <c r="B1607" s="2396"/>
      <c r="C1607" s="2396"/>
      <c r="D1607" s="2405"/>
      <c r="E1607" s="2396"/>
      <c r="F1607" s="2396"/>
      <c r="G1607" s="2403" t="s">
        <v>1349</v>
      </c>
      <c r="H1607" s="2341" t="s">
        <v>4066</v>
      </c>
      <c r="I1607" s="2401" t="s">
        <v>2453</v>
      </c>
      <c r="J1607" s="2396" t="s">
        <v>3256</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4.25">
      <c r="A1608" s="2396"/>
      <c r="B1608" s="2396"/>
      <c r="C1608" s="2396"/>
      <c r="D1608" s="2405"/>
      <c r="E1608" s="2396"/>
      <c r="F1608" s="2396"/>
      <c r="G1608" s="2403" t="s">
        <v>1707</v>
      </c>
      <c r="H1608" s="2341" t="s">
        <v>4066</v>
      </c>
      <c r="I1608" s="2401" t="s">
        <v>2453</v>
      </c>
      <c r="J1608" s="2396" t="s">
        <v>3257</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4.25">
      <c r="A1609" s="2396"/>
      <c r="B1609" s="2396"/>
      <c r="C1609" s="2396"/>
      <c r="D1609" s="2396"/>
      <c r="E1609" s="2396"/>
      <c r="F1609" s="2396"/>
      <c r="G1609" s="2403" t="s">
        <v>1969</v>
      </c>
      <c r="H1609" s="2341">
        <v>2020</v>
      </c>
      <c r="I1609" s="2341" t="s">
        <v>4065</v>
      </c>
      <c r="J1609" s="2396" t="s">
        <v>3330</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4.25">
      <c r="A1610" s="2396"/>
      <c r="B1610" s="2396"/>
      <c r="C1610" s="2396"/>
      <c r="D1610" s="2396"/>
      <c r="E1610" s="2396"/>
      <c r="F1610" s="2396"/>
      <c r="G1610" s="2403" t="s">
        <v>1352</v>
      </c>
      <c r="H1610" s="2341">
        <v>2019</v>
      </c>
      <c r="I1610" s="2341" t="s">
        <v>4065</v>
      </c>
      <c r="J1610" s="2396" t="s">
        <v>3333</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4.25">
      <c r="A1611" s="2396"/>
      <c r="B1611" s="2396"/>
      <c r="C1611" s="2396"/>
      <c r="D1611" s="2396"/>
      <c r="E1611" s="2396"/>
      <c r="F1611" s="2396"/>
      <c r="G1611" s="2403" t="s">
        <v>235</v>
      </c>
      <c r="H1611" s="2341">
        <v>2019</v>
      </c>
      <c r="I1611" s="2341" t="s">
        <v>4065</v>
      </c>
      <c r="J1611" s="2396" t="s">
        <v>3334</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4.25">
      <c r="A1612" s="2396"/>
      <c r="B1612" s="2396"/>
      <c r="C1612" s="2396"/>
      <c r="D1612" s="2396"/>
      <c r="E1612" s="2396"/>
      <c r="F1612" s="2396"/>
      <c r="G1612" s="2403" t="s">
        <v>978</v>
      </c>
      <c r="H1612" s="2341">
        <v>2020</v>
      </c>
      <c r="I1612" s="2341" t="s">
        <v>4065</v>
      </c>
      <c r="J1612" s="2396" t="s">
        <v>3258</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4.25">
      <c r="A1613" s="2396"/>
      <c r="B1613" s="2396"/>
      <c r="C1613" s="2405"/>
      <c r="D1613" s="2396"/>
      <c r="E1613" s="2396"/>
      <c r="F1613" s="2396"/>
      <c r="G1613" s="2403" t="s">
        <v>2096</v>
      </c>
      <c r="H1613" s="2341">
        <v>2020</v>
      </c>
      <c r="I1613" s="2341" t="s">
        <v>4065</v>
      </c>
      <c r="J1613" s="2396" t="s">
        <v>3259</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4.25">
      <c r="A1614" s="2396"/>
      <c r="B1614" s="2396"/>
      <c r="C1614" s="2405"/>
      <c r="D1614" s="2396"/>
      <c r="E1614" s="2396"/>
      <c r="F1614" s="2396"/>
      <c r="G1614" s="2403" t="s">
        <v>4060</v>
      </c>
      <c r="H1614" s="2341" t="s">
        <v>4066</v>
      </c>
      <c r="I1614" s="2401" t="s">
        <v>2453</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4.25">
      <c r="A1615" s="2396"/>
      <c r="B1615" s="2396"/>
      <c r="C1615" s="2405"/>
      <c r="D1615" s="2396"/>
      <c r="E1615" s="2396"/>
      <c r="F1615" s="2396"/>
      <c r="G1615" s="2403" t="s">
        <v>1749</v>
      </c>
      <c r="H1615" s="2341" t="s">
        <v>4066</v>
      </c>
      <c r="I1615" s="2401" t="s">
        <v>2453</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4.25">
      <c r="A1616" s="2396"/>
      <c r="B1616" s="2396"/>
      <c r="C1616" s="2405"/>
      <c r="D1616" s="2396"/>
      <c r="E1616" s="2396"/>
      <c r="F1616" s="2396"/>
      <c r="G1616" s="2403" t="s">
        <v>472</v>
      </c>
      <c r="H1616" s="2341" t="s">
        <v>4066</v>
      </c>
      <c r="I1616" s="2401" t="s">
        <v>2453</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4.25">
      <c r="A1617" s="2396"/>
      <c r="B1617" s="2396"/>
      <c r="C1617" s="2405"/>
      <c r="D1617" s="2396"/>
      <c r="E1617" s="2396"/>
      <c r="F1617" s="2396"/>
      <c r="G1617" s="2403" t="s">
        <v>1951</v>
      </c>
      <c r="H1617" s="2341" t="s">
        <v>4066</v>
      </c>
      <c r="I1617" s="2401" t="s">
        <v>2453</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4.25">
      <c r="A1618" s="2396"/>
      <c r="B1618" s="2396"/>
      <c r="C1618" s="2405"/>
      <c r="D1618" s="2396"/>
      <c r="E1618" s="2396"/>
      <c r="F1618" s="2396"/>
      <c r="G1618" s="2403" t="s">
        <v>2088</v>
      </c>
      <c r="H1618" s="2341">
        <v>2020</v>
      </c>
      <c r="I1618" s="2341" t="s">
        <v>4065</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4.25">
      <c r="A1619" s="2396"/>
      <c r="B1619" s="2396"/>
      <c r="C1619" s="2405"/>
      <c r="D1619" s="2396"/>
      <c r="E1619" s="2396"/>
      <c r="F1619" s="2396"/>
      <c r="G1619" s="2403" t="s">
        <v>1974</v>
      </c>
      <c r="H1619" s="2341">
        <v>2020</v>
      </c>
      <c r="I1619" s="2341" t="s">
        <v>4065</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4.25">
      <c r="A1620" s="2396"/>
      <c r="B1620" s="2396"/>
      <c r="C1620" s="2396"/>
      <c r="D1620" s="2396"/>
      <c r="E1620" s="2396"/>
      <c r="F1620" s="2396"/>
      <c r="G1620" s="2403" t="s">
        <v>2154</v>
      </c>
      <c r="H1620" s="2341">
        <v>2019</v>
      </c>
      <c r="I1620" s="2341" t="s">
        <v>4065</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5">
      <c r="A1621" s="2396"/>
      <c r="B1621" s="2396"/>
      <c r="C1621" s="2396"/>
      <c r="D1621" s="2396"/>
      <c r="E1621" s="2396"/>
      <c r="F1621" s="2396"/>
      <c r="G1621" s="2403" t="s">
        <v>4061</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5">
      <c r="A1622" s="2396"/>
      <c r="B1622" s="2396"/>
      <c r="C1622" s="2396"/>
      <c r="D1622" s="2396"/>
      <c r="E1622" s="2396"/>
      <c r="F1622" s="2396"/>
      <c r="G1622" s="2403" t="s">
        <v>1574</v>
      </c>
      <c r="H1622" s="2341">
        <v>2019</v>
      </c>
      <c r="I1622" s="2341" t="s">
        <v>4065</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5">
      <c r="A1623" s="2396"/>
      <c r="B1623" s="2396"/>
      <c r="C1623" s="2396"/>
      <c r="D1623" s="2396"/>
      <c r="E1623" s="2396"/>
      <c r="F1623" s="2396"/>
      <c r="G1623" s="2403" t="s">
        <v>1577</v>
      </c>
      <c r="H1623" s="2341">
        <v>2020</v>
      </c>
      <c r="I1623" s="2341" t="s">
        <v>4065</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5">
      <c r="A1624" s="2396"/>
      <c r="B1624" s="2396"/>
      <c r="C1624" s="2396"/>
      <c r="D1624" s="2396"/>
      <c r="E1624" s="2396"/>
      <c r="F1624" s="2396"/>
      <c r="G1624" s="2403" t="s">
        <v>1582</v>
      </c>
      <c r="H1624" s="2341">
        <v>2020</v>
      </c>
      <c r="I1624" s="2341" t="s">
        <v>4065</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5">
      <c r="A1625" s="2396"/>
      <c r="B1625" s="2396"/>
      <c r="C1625" s="2396"/>
      <c r="D1625" s="2396"/>
      <c r="E1625" s="2396"/>
      <c r="F1625" s="2396"/>
      <c r="G1625" s="2403" t="s">
        <v>1590</v>
      </c>
      <c r="H1625" s="2341">
        <v>2020</v>
      </c>
      <c r="I1625" s="2341" t="s">
        <v>4065</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5">
      <c r="A1626" s="2396"/>
      <c r="B1626" s="2396"/>
      <c r="C1626" s="2396"/>
      <c r="D1626" s="2396"/>
      <c r="E1626" s="2396"/>
      <c r="F1626" s="2396"/>
      <c r="G1626" s="2403" t="s">
        <v>1591</v>
      </c>
      <c r="H1626" s="2341">
        <v>2019</v>
      </c>
      <c r="I1626" s="2341" t="s">
        <v>4065</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5">
      <c r="A1627" s="2396"/>
      <c r="B1627" s="2396"/>
      <c r="C1627" s="2396"/>
      <c r="D1627" s="2396"/>
      <c r="E1627" s="2396"/>
      <c r="F1627" s="2396"/>
      <c r="G1627" s="2403" t="s">
        <v>100</v>
      </c>
      <c r="H1627" s="2341">
        <v>2020</v>
      </c>
      <c r="I1627" s="2341" t="s">
        <v>4065</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5">
      <c r="A1628" s="2396"/>
      <c r="B1628" s="2396"/>
      <c r="C1628" s="2396"/>
      <c r="D1628" s="2396"/>
      <c r="E1628" s="2396"/>
      <c r="F1628" s="2396"/>
      <c r="G1628" s="2403" t="s">
        <v>285</v>
      </c>
      <c r="H1628" s="2341">
        <v>2020</v>
      </c>
      <c r="I1628" s="2341" t="s">
        <v>4065</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5">
      <c r="A1629" s="2396"/>
      <c r="B1629" s="2396"/>
      <c r="C1629" s="2396"/>
      <c r="D1629" s="2396"/>
      <c r="E1629" s="2396"/>
      <c r="F1629" s="2396"/>
      <c r="G1629" s="2403" t="s">
        <v>1442</v>
      </c>
      <c r="H1629" s="2341" t="s">
        <v>4066</v>
      </c>
      <c r="I1629" s="2401" t="s">
        <v>2453</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4.25">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5">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5">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5">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5">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5">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5">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5">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5">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5">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5">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5">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5">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5">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5">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5">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5">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5">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5">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5">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5">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5">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5">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5">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5">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5">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5">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5">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5">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5">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5">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5">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5">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5">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5">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5">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5">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5">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5">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5">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5">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5">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5">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5">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5">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5">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5">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5">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5">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5">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5">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5">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5">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5">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5">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5">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5">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5">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5">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5">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5">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5">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5">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5">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5">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5">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5">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5">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5">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5">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5">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5">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5">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5">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5">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5">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5">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5">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5">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5">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5">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5">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5">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5">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5">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5">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5">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5">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4.25">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O33" sqref="O33"/>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Helix, Riverdale, Clayton County</v>
      </c>
      <c r="B2" s="3167"/>
      <c r="C2" s="3167"/>
      <c r="D2" s="3167"/>
      <c r="E2" s="3167"/>
      <c r="F2" s="3167"/>
      <c r="G2" s="3167"/>
      <c r="H2" s="3167"/>
      <c r="I2" s="3167"/>
      <c r="J2" s="3167"/>
      <c r="K2" s="3167"/>
      <c r="L2" s="3167"/>
      <c r="M2" s="3167"/>
      <c r="N2" s="3167"/>
      <c r="O2" s="3167"/>
      <c r="P2" s="3167"/>
      <c r="Q2" s="3168"/>
      <c r="S2" s="3286" t="str">
        <f>$A$2</f>
        <v>PART TWO - SOURCES OF FUNDS (Proposed)  -  2023-0 Helix, Riverdale, Clayton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6079</v>
      </c>
      <c r="G6" s="144"/>
      <c r="I6" s="3290"/>
      <c r="J6" s="3291"/>
      <c r="L6" s="1232" t="s">
        <v>2652</v>
      </c>
      <c r="M6" s="224" t="s">
        <v>1437</v>
      </c>
      <c r="Q6" s="1620"/>
      <c r="S6" s="3233"/>
      <c r="T6" s="3234"/>
      <c r="Y6" s="1742"/>
      <c r="Z6" s="1706">
        <v>6</v>
      </c>
      <c r="AZ6" s="1676"/>
    </row>
    <row r="7" spans="1:52" s="223" customFormat="1" ht="16.5" customHeight="1">
      <c r="A7" s="375"/>
      <c r="B7" s="823" t="s">
        <v>2652</v>
      </c>
      <c r="C7" s="224" t="s">
        <v>3876</v>
      </c>
      <c r="D7" s="144"/>
      <c r="E7" s="818" t="s">
        <v>2652</v>
      </c>
      <c r="F7" s="224" t="s">
        <v>6080</v>
      </c>
      <c r="I7" s="3292"/>
      <c r="J7" s="3293"/>
      <c r="L7" s="823" t="s">
        <v>2652</v>
      </c>
      <c r="M7" s="224" t="s">
        <v>514</v>
      </c>
      <c r="P7" s="1620"/>
      <c r="Q7" s="1620"/>
      <c r="S7" s="3194"/>
      <c r="T7" s="3195"/>
      <c r="Y7" s="1742"/>
      <c r="Z7" s="1706">
        <v>7</v>
      </c>
      <c r="AZ7" s="1676"/>
    </row>
    <row r="8" spans="1:52" s="223" customFormat="1" ht="16.5" customHeight="1">
      <c r="A8" s="144"/>
      <c r="B8" s="823" t="s">
        <v>2652</v>
      </c>
      <c r="C8" s="224" t="s">
        <v>6660</v>
      </c>
      <c r="F8" s="223" t="s">
        <v>6663</v>
      </c>
      <c r="H8" s="3304" t="s">
        <v>3065</v>
      </c>
      <c r="I8" s="3305"/>
      <c r="J8" s="3306"/>
      <c r="L8" s="823" t="s">
        <v>2652</v>
      </c>
      <c r="M8" s="224" t="s">
        <v>6665</v>
      </c>
      <c r="P8" s="1620"/>
      <c r="Q8" s="1620"/>
      <c r="S8" s="3194"/>
      <c r="T8" s="3195"/>
      <c r="Y8" s="1742"/>
      <c r="Z8" s="1706">
        <v>8</v>
      </c>
      <c r="AZ8" s="1676"/>
    </row>
    <row r="9" spans="1:52" s="223" customFormat="1" ht="16.5" customHeight="1">
      <c r="A9" s="375"/>
      <c r="B9" s="823" t="s">
        <v>2652</v>
      </c>
      <c r="C9" s="223" t="s">
        <v>3300</v>
      </c>
      <c r="E9" s="1235" t="s">
        <v>2652</v>
      </c>
      <c r="F9" s="3296" t="s">
        <v>6659</v>
      </c>
      <c r="G9" s="3297"/>
      <c r="H9" s="3294"/>
      <c r="I9" s="3294"/>
      <c r="J9" s="3295"/>
      <c r="L9" s="823" t="s">
        <v>2652</v>
      </c>
      <c r="M9" s="224" t="s">
        <v>3877</v>
      </c>
      <c r="Q9" s="1620"/>
      <c r="S9" s="3196"/>
      <c r="T9" s="3197"/>
      <c r="Y9" s="1742"/>
      <c r="Z9" s="1706">
        <v>9</v>
      </c>
      <c r="AZ9" s="1676"/>
    </row>
    <row r="10" spans="1:52" s="223" customFormat="1" ht="16.5" customHeight="1">
      <c r="A10" s="375"/>
      <c r="B10" s="823" t="s">
        <v>2652</v>
      </c>
      <c r="C10" s="224" t="s">
        <v>2394</v>
      </c>
      <c r="F10" s="3298" t="s">
        <v>3769</v>
      </c>
      <c r="G10" s="3299"/>
      <c r="H10" s="3299"/>
      <c r="I10" s="3299"/>
      <c r="J10" s="3300"/>
      <c r="L10" s="823" t="s">
        <v>2652</v>
      </c>
      <c r="M10" s="224" t="s">
        <v>3192</v>
      </c>
      <c r="P10" s="1620"/>
      <c r="Q10" s="1620"/>
      <c r="S10" s="3233"/>
      <c r="T10" s="3234"/>
      <c r="Y10" s="1742"/>
      <c r="Z10" s="1706">
        <v>10</v>
      </c>
      <c r="AZ10" s="1676"/>
    </row>
    <row r="11" spans="1:52" s="223" customFormat="1" ht="16.5" customHeight="1">
      <c r="A11" s="375"/>
      <c r="B11" s="823" t="s">
        <v>2652</v>
      </c>
      <c r="C11" s="224" t="s">
        <v>2395</v>
      </c>
      <c r="E11" s="1235" t="s">
        <v>2652</v>
      </c>
      <c r="F11" s="3294" t="s">
        <v>6661</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3193</v>
      </c>
      <c r="F12" s="3287" t="s">
        <v>3770</v>
      </c>
      <c r="G12" s="3288"/>
      <c r="H12" s="3307"/>
      <c r="I12" s="3307"/>
      <c r="J12" s="3308"/>
      <c r="L12" s="823" t="s">
        <v>2652</v>
      </c>
      <c r="M12" s="223" t="s">
        <v>3219</v>
      </c>
      <c r="S12" s="3194"/>
      <c r="T12" s="3195"/>
      <c r="Y12" s="1742"/>
      <c r="Z12" s="1706">
        <v>12</v>
      </c>
      <c r="AZ12" s="1676"/>
    </row>
    <row r="13" spans="1:52" s="223" customFormat="1" ht="16.5" customHeight="1">
      <c r="A13" s="375"/>
      <c r="B13" s="823" t="s">
        <v>2652</v>
      </c>
      <c r="C13" s="224" t="s">
        <v>6662</v>
      </c>
      <c r="E13" s="1232" t="s">
        <v>2652</v>
      </c>
      <c r="F13" s="224" t="s">
        <v>6664</v>
      </c>
      <c r="H13" s="3287" t="s">
        <v>3291</v>
      </c>
      <c r="I13" s="3288"/>
      <c r="J13" s="3289"/>
      <c r="L13" s="823" t="s">
        <v>2652</v>
      </c>
      <c r="M13" s="223" t="s">
        <v>6078</v>
      </c>
      <c r="S13" s="3194"/>
      <c r="T13" s="3195"/>
      <c r="Y13" s="1742"/>
      <c r="Z13" s="1706">
        <v>13</v>
      </c>
      <c r="AZ13" s="1676"/>
    </row>
    <row r="14" spans="1:52" s="223" customFormat="1" ht="16.5" customHeight="1">
      <c r="A14" s="375"/>
      <c r="B14" s="823" t="s">
        <v>2652</v>
      </c>
      <c r="C14" s="223" t="s">
        <v>2397</v>
      </c>
      <c r="E14" s="823" t="s">
        <v>2652</v>
      </c>
      <c r="F14" s="224" t="s">
        <v>3299</v>
      </c>
      <c r="L14" s="823" t="s">
        <v>2652</v>
      </c>
      <c r="M14" s="223" t="s">
        <v>6710</v>
      </c>
      <c r="S14" s="3196"/>
      <c r="T14" s="3197"/>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309"/>
      <c r="J16" s="3310"/>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3844</v>
      </c>
      <c r="M21" s="3246"/>
      <c r="N21" s="3246" t="s">
        <v>1410</v>
      </c>
      <c r="O21" s="3246"/>
      <c r="P21" s="3246" t="s">
        <v>1523</v>
      </c>
      <c r="Q21" s="3246"/>
      <c r="S21" s="3247" t="s">
        <v>2448</v>
      </c>
      <c r="T21" s="3247"/>
      <c r="Y21" s="1742"/>
      <c r="Z21" s="1706">
        <v>21</v>
      </c>
      <c r="AZ21" s="1676" t="s">
        <v>6340</v>
      </c>
    </row>
    <row r="22" spans="1:52" s="223" customFormat="1" ht="15.75" customHeight="1">
      <c r="A22" s="144"/>
      <c r="B22" s="3250" t="s">
        <v>1486</v>
      </c>
      <c r="C22" s="3251"/>
      <c r="D22" s="3251"/>
      <c r="E22" s="821"/>
      <c r="F22" s="821"/>
      <c r="G22" s="821"/>
      <c r="H22" s="3219" t="s">
        <v>7044</v>
      </c>
      <c r="I22" s="3220"/>
      <c r="J22" s="3220"/>
      <c r="K22" s="3221"/>
      <c r="L22" s="3269">
        <v>14375000</v>
      </c>
      <c r="M22" s="3270"/>
      <c r="N22" s="3271">
        <v>6.5000000000000002E-2</v>
      </c>
      <c r="O22" s="3272"/>
      <c r="P22" s="3273">
        <v>24</v>
      </c>
      <c r="Q22" s="3274"/>
      <c r="S22" s="3233"/>
      <c r="T22" s="3234"/>
      <c r="Y22" s="1742" t="s">
        <v>6340</v>
      </c>
      <c r="Z22" s="1706">
        <v>22</v>
      </c>
      <c r="AZ22" s="1676" t="s">
        <v>6341</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6341</v>
      </c>
      <c r="Z23" s="1706">
        <v>23</v>
      </c>
      <c r="AZ23" s="1676" t="s">
        <v>6342</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6342</v>
      </c>
      <c r="Z24" s="1706">
        <v>24</v>
      </c>
      <c r="AZ24" s="1676" t="s">
        <v>6343</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6343</v>
      </c>
      <c r="Z25" s="1706">
        <v>25</v>
      </c>
      <c r="AZ25" s="1676" t="s">
        <v>6344</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6344</v>
      </c>
      <c r="Z26" s="1706">
        <v>26</v>
      </c>
      <c r="AZ26" s="1676" t="s">
        <v>6345</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6345</v>
      </c>
      <c r="Z27" s="1706">
        <v>27</v>
      </c>
      <c r="AZ27" s="1676" t="s">
        <v>6346</v>
      </c>
    </row>
    <row r="28" spans="1:52" s="223" customFormat="1" ht="15.75" customHeight="1">
      <c r="A28" s="144"/>
      <c r="B28" s="3235" t="s">
        <v>746</v>
      </c>
      <c r="C28" s="3236"/>
      <c r="D28" s="3236"/>
      <c r="E28" s="144"/>
      <c r="H28" s="3181" t="s">
        <v>7045</v>
      </c>
      <c r="I28" s="3182"/>
      <c r="J28" s="3182"/>
      <c r="K28" s="3183"/>
      <c r="L28" s="3257">
        <v>8176057</v>
      </c>
      <c r="M28" s="3258"/>
      <c r="N28" s="144"/>
      <c r="Q28" s="144"/>
      <c r="S28" s="3196"/>
      <c r="T28" s="3197"/>
      <c r="Y28" s="1742" t="s">
        <v>6346</v>
      </c>
      <c r="Z28" s="1706">
        <v>28</v>
      </c>
      <c r="AZ28" s="1676" t="s">
        <v>6347</v>
      </c>
    </row>
    <row r="29" spans="1:52" s="223" customFormat="1" ht="15.75" customHeight="1">
      <c r="A29" s="144"/>
      <c r="B29" s="3235" t="s">
        <v>747</v>
      </c>
      <c r="C29" s="3236"/>
      <c r="D29" s="3236"/>
      <c r="E29" s="144"/>
      <c r="H29" s="3181" t="s">
        <v>7045</v>
      </c>
      <c r="I29" s="3182"/>
      <c r="J29" s="3182"/>
      <c r="K29" s="3183"/>
      <c r="L29" s="3257">
        <v>4618250</v>
      </c>
      <c r="M29" s="3258"/>
      <c r="N29" s="144"/>
      <c r="Q29" s="144"/>
      <c r="S29" s="3233"/>
      <c r="T29" s="3234"/>
      <c r="Y29" s="1742" t="s">
        <v>6347</v>
      </c>
      <c r="Z29" s="1706">
        <v>29</v>
      </c>
      <c r="AZ29" s="1676" t="s">
        <v>6348</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6348</v>
      </c>
      <c r="Z30" s="1706">
        <v>30</v>
      </c>
      <c r="AZ30" s="1676" t="s">
        <v>6349</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6349</v>
      </c>
      <c r="Z31" s="1706">
        <v>31</v>
      </c>
      <c r="AZ31" s="1676" t="s">
        <v>6350</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6350</v>
      </c>
      <c r="Z32" s="1706">
        <v>32</v>
      </c>
      <c r="AZ32" s="1676"/>
    </row>
    <row r="33" spans="1:52" s="223" customFormat="1" ht="16.5" customHeight="1">
      <c r="A33" s="144"/>
      <c r="B33" s="222" t="s">
        <v>1221</v>
      </c>
      <c r="C33" s="144"/>
      <c r="D33" s="144"/>
      <c r="E33" s="144"/>
      <c r="F33" s="144"/>
      <c r="G33" s="144"/>
      <c r="H33" s="144"/>
      <c r="I33" s="144"/>
      <c r="L33" s="3263">
        <f>SUM(L22:L32)</f>
        <v>27169307</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22493893</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4675414</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3843</v>
      </c>
      <c r="J39" s="3246"/>
      <c r="K39" s="446" t="s">
        <v>1675</v>
      </c>
      <c r="L39" s="446" t="s">
        <v>2046</v>
      </c>
      <c r="M39" s="446" t="s">
        <v>2046</v>
      </c>
      <c r="N39" s="3246" t="s">
        <v>69</v>
      </c>
      <c r="O39" s="3246"/>
      <c r="P39" s="3244"/>
      <c r="Q39" s="3244"/>
      <c r="S39" s="3247" t="s">
        <v>2448</v>
      </c>
      <c r="T39" s="3247"/>
      <c r="Y39" s="1742"/>
      <c r="Z39" s="1706">
        <v>39</v>
      </c>
      <c r="AZ39" s="1676" t="s">
        <v>6351</v>
      </c>
    </row>
    <row r="40" spans="1:52" s="223" customFormat="1" ht="15" customHeight="1">
      <c r="A40" s="144"/>
      <c r="B40" s="3250" t="s">
        <v>2402</v>
      </c>
      <c r="C40" s="3251"/>
      <c r="D40" s="3251"/>
      <c r="E40" s="3219" t="s">
        <v>7046</v>
      </c>
      <c r="F40" s="3220"/>
      <c r="G40" s="3220"/>
      <c r="H40" s="3221"/>
      <c r="I40" s="3214">
        <v>7273800</v>
      </c>
      <c r="J40" s="3215"/>
      <c r="K40" s="654">
        <v>6.25E-2</v>
      </c>
      <c r="L40" s="822">
        <v>15</v>
      </c>
      <c r="M40" s="822">
        <v>35</v>
      </c>
      <c r="N40" s="3252" t="s">
        <v>7047</v>
      </c>
      <c r="O40" s="3252"/>
      <c r="P40" s="3213">
        <f>IF(OR(I40&lt;=0,I40=""),"",IF(N40="Cash Flow",0,IF(N40="Amortizing",-PMT(K40/12,M40*12,I40,0,0)*12,"")))</f>
        <v>512433.2280002333</v>
      </c>
      <c r="Q40" s="3213"/>
      <c r="S40" s="3233"/>
      <c r="T40" s="3234"/>
      <c r="Y40" s="1742" t="s">
        <v>6351</v>
      </c>
      <c r="Z40" s="1706">
        <v>40</v>
      </c>
      <c r="AZ40" s="1676" t="s">
        <v>6352</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6352</v>
      </c>
      <c r="Z41" s="1706">
        <v>41</v>
      </c>
      <c r="AZ41" s="1676" t="s">
        <v>6353</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6353</v>
      </c>
      <c r="Z42" s="1706">
        <v>42</v>
      </c>
      <c r="AZ42" s="1676" t="s">
        <v>6354</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6354</v>
      </c>
      <c r="Z43" s="1706">
        <v>43</v>
      </c>
      <c r="AZ43" s="1676" t="s">
        <v>6355</v>
      </c>
    </row>
    <row r="44" spans="1:52" s="223" customFormat="1" ht="15" customHeight="1">
      <c r="A44" s="144"/>
      <c r="B44" s="820" t="s">
        <v>3943</v>
      </c>
      <c r="C44" s="144"/>
      <c r="D44" s="824"/>
      <c r="E44" s="3181"/>
      <c r="F44" s="3182"/>
      <c r="G44" s="3182"/>
      <c r="H44" s="3183"/>
      <c r="I44" s="3184"/>
      <c r="J44" s="3230"/>
      <c r="K44" s="364"/>
      <c r="L44" s="819"/>
      <c r="M44" s="819"/>
      <c r="N44" s="3232"/>
      <c r="O44" s="3232"/>
      <c r="P44" s="3231"/>
      <c r="Q44" s="3231"/>
      <c r="S44" s="3194"/>
      <c r="T44" s="3195"/>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6.1402999999999999E-2</v>
      </c>
      <c r="E45" s="3199" t="s">
        <v>7036</v>
      </c>
      <c r="F45" s="3200"/>
      <c r="G45" s="3200"/>
      <c r="H45" s="3201"/>
      <c r="I45" s="3253">
        <v>122806</v>
      </c>
      <c r="J45" s="3254"/>
      <c r="K45" s="653">
        <v>0</v>
      </c>
      <c r="L45" s="652">
        <v>1</v>
      </c>
      <c r="M45" s="652">
        <v>1</v>
      </c>
      <c r="N45" s="3063" t="s">
        <v>1096</v>
      </c>
      <c r="O45" s="3064"/>
      <c r="P45" s="3255">
        <f>IF(OR(I45&lt;=0,I45=""),"",IF(N45="Cash Flow",0,IF(N45="Amortizing",-PMT(K45/12,M45*12,I45,0,0)*12,"")))</f>
        <v>0</v>
      </c>
      <c r="Q45" s="3256"/>
      <c r="S45" s="3194"/>
      <c r="T45" s="3195"/>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3405</v>
      </c>
      <c r="C47" s="144"/>
      <c r="E47" s="223" t="s">
        <v>3363</v>
      </c>
      <c r="F47" s="3188">
        <f>IF(OR($I$45="",$I$45=0,'Part VI-Pro Forma'!$S$35=0,'Part VI-Pro Forma'!$S$35=""),"",VLOOKUP($L$45,'Part VI-Pro Forma'!$Q$21:$S$40,3))</f>
        <v>154006.80959976686</v>
      </c>
      <c r="G47" s="3189"/>
      <c r="H47" s="485" t="s">
        <v>3404</v>
      </c>
      <c r="I47" s="3188">
        <f>IF(OR($I$45="",$I$45=0,'Part VI-Pro Forma'!$R$35=0,'Part VI-Pro Forma'!$R$35=""),"",VLOOKUP($L$45,'Part VI-Pro Forma'!$Q$21:$S$35,2))</f>
        <v>122806</v>
      </c>
      <c r="J47" s="3189"/>
      <c r="K47" s="485" t="s">
        <v>3406</v>
      </c>
      <c r="L47" s="3211">
        <f>IF(OR($F$47 = 0,$F$47 =""),"",$I$47/$F$47)</f>
        <v>0.79740629858607182</v>
      </c>
      <c r="M47" s="3212"/>
      <c r="N47" s="3192" t="s">
        <v>3847</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6357</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6357</v>
      </c>
      <c r="Z49" s="1706">
        <v>49</v>
      </c>
      <c r="AZ49" s="1676" t="s">
        <v>6358</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6358</v>
      </c>
      <c r="Z50" s="1706">
        <v>50</v>
      </c>
      <c r="AZ50" s="1676" t="s">
        <v>6359</v>
      </c>
    </row>
    <row r="51" spans="1:52" s="223" customFormat="1" ht="15" customHeight="1">
      <c r="A51" s="144"/>
      <c r="B51" s="3235" t="s">
        <v>746</v>
      </c>
      <c r="C51" s="3236"/>
      <c r="D51" s="3237"/>
      <c r="E51" s="3181" t="s">
        <v>7045</v>
      </c>
      <c r="F51" s="3182"/>
      <c r="G51" s="3182"/>
      <c r="H51" s="3183"/>
      <c r="I51" s="3184">
        <v>10901410</v>
      </c>
      <c r="J51" s="3184"/>
      <c r="L51" s="3240">
        <f>'Part III-A-Uses of Funds'!$J$191*10*'Part III-A-Uses of Funds'!$N$182</f>
        <v>10902500</v>
      </c>
      <c r="M51" s="3240"/>
      <c r="N51" s="3241">
        <f>I51-L51</f>
        <v>-1090</v>
      </c>
      <c r="O51" s="3241"/>
      <c r="P51" s="324">
        <f>I51/I61</f>
        <v>0.42913841411586717</v>
      </c>
      <c r="Q51" s="144"/>
      <c r="S51" s="3194"/>
      <c r="T51" s="3195"/>
      <c r="Y51" s="1742" t="s">
        <v>6359</v>
      </c>
      <c r="Z51" s="1706">
        <v>51</v>
      </c>
      <c r="AZ51" s="1676" t="s">
        <v>6360</v>
      </c>
    </row>
    <row r="52" spans="1:52" s="223" customFormat="1" ht="15" customHeight="1">
      <c r="A52" s="144"/>
      <c r="B52" s="3235" t="s">
        <v>747</v>
      </c>
      <c r="C52" s="3236"/>
      <c r="D52" s="3237"/>
      <c r="E52" s="3181" t="s">
        <v>7045</v>
      </c>
      <c r="F52" s="3182"/>
      <c r="G52" s="3182"/>
      <c r="H52" s="3183"/>
      <c r="I52" s="3184">
        <v>7105000</v>
      </c>
      <c r="J52" s="3184"/>
      <c r="L52" s="3240">
        <f>'Part III-A-Uses of Funds'!$J$191*10*'Part III-A-Uses of Funds'!$Q$182</f>
        <v>7104999.9999999991</v>
      </c>
      <c r="M52" s="3240"/>
      <c r="N52" s="3241">
        <f>I52-L52</f>
        <v>0</v>
      </c>
      <c r="O52" s="3241"/>
      <c r="P52" s="324">
        <f>I52/I61</f>
        <v>0.27969119887181898</v>
      </c>
      <c r="Q52" s="144"/>
      <c r="S52" s="3194"/>
      <c r="T52" s="3195"/>
      <c r="Y52" s="1742" t="s">
        <v>6360</v>
      </c>
      <c r="Z52" s="1706">
        <v>52</v>
      </c>
      <c r="AZ52" s="1676" t="s">
        <v>6361</v>
      </c>
    </row>
    <row r="53" spans="1:52" s="223" customFormat="1" ht="15" customHeight="1">
      <c r="A53" s="144"/>
      <c r="B53" s="3235" t="s">
        <v>1331</v>
      </c>
      <c r="C53" s="3236"/>
      <c r="D53" s="3237"/>
      <c r="E53" s="3181"/>
      <c r="F53" s="3182"/>
      <c r="G53" s="3182"/>
      <c r="H53" s="3183"/>
      <c r="I53" s="3184"/>
      <c r="J53" s="3184"/>
      <c r="P53" s="325">
        <f>SUM(P51:P52)</f>
        <v>0.7088296129876861</v>
      </c>
      <c r="Q53" s="144"/>
      <c r="S53" s="3196"/>
      <c r="T53" s="3197"/>
      <c r="Y53" s="1742" t="s">
        <v>6361</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6362</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6362</v>
      </c>
      <c r="Z57" s="1706">
        <v>57</v>
      </c>
      <c r="AZ57" s="1676" t="s">
        <v>6363</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6363</v>
      </c>
      <c r="Z58" s="1706">
        <v>58</v>
      </c>
      <c r="AZ58" s="1676" t="s">
        <v>6364</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6364</v>
      </c>
      <c r="Z59" s="1706">
        <v>59</v>
      </c>
      <c r="AZ59" s="1676"/>
    </row>
    <row r="60" spans="1:52" s="223" customFormat="1" ht="14.25" customHeight="1">
      <c r="A60" s="144"/>
      <c r="B60" s="246" t="s">
        <v>2048</v>
      </c>
      <c r="C60" s="144"/>
      <c r="D60" s="144"/>
      <c r="E60" s="144"/>
      <c r="F60" s="144"/>
      <c r="G60" s="144"/>
      <c r="I60" s="3203">
        <f>SUM(I40:J45)+SUM(I49:J59)</f>
        <v>25403016</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25403016</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7" zoomScaleNormal="100" workbookViewId="0">
      <selection activeCell="G80" sqref="G80:H8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Helix, Riverdale, Clayton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Helix, Riverdale, Clayton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15000</v>
      </c>
      <c r="H9" s="3270"/>
      <c r="J9" s="3269">
        <v>15000</v>
      </c>
      <c r="K9" s="3270"/>
      <c r="L9" s="828"/>
      <c r="M9" s="3269"/>
      <c r="N9" s="3270"/>
      <c r="P9" s="3269"/>
      <c r="Q9" s="3270"/>
      <c r="S9" s="3269"/>
      <c r="T9" s="3270"/>
      <c r="V9" s="849"/>
      <c r="W9" s="3384"/>
      <c r="X9" s="3385"/>
      <c r="AZ9" s="1968"/>
      <c r="BA9" s="1706">
        <v>9</v>
      </c>
    </row>
    <row r="10" spans="1:53" s="144" customFormat="1" ht="11.25" customHeight="1">
      <c r="B10" s="144" t="s">
        <v>431</v>
      </c>
      <c r="G10" s="3257">
        <v>6500</v>
      </c>
      <c r="H10" s="3258"/>
      <c r="J10" s="3257">
        <v>6500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36000</v>
      </c>
      <c r="H11" s="3258"/>
      <c r="J11" s="3257">
        <v>36000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25000</v>
      </c>
      <c r="H12" s="3258"/>
      <c r="J12" s="3257">
        <v>25000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30000</v>
      </c>
      <c r="H13" s="3258"/>
      <c r="J13" s="3257">
        <v>30000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6271</v>
      </c>
      <c r="C15" s="3453" t="s">
        <v>7048</v>
      </c>
      <c r="D15" s="3453"/>
      <c r="E15" s="3453"/>
      <c r="F15" s="3454"/>
      <c r="G15" s="3257">
        <v>105000</v>
      </c>
      <c r="H15" s="3258"/>
      <c r="J15" s="3257">
        <v>105000</v>
      </c>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6365</v>
      </c>
      <c r="BA15" s="1706">
        <v>15</v>
      </c>
    </row>
    <row r="16" spans="1:53" s="144" customFormat="1" ht="11.25" customHeight="1">
      <c r="A16" s="303" t="str">
        <f>IF(AND(G16&gt;0,OR(C16="",C16="&lt;Enter detailed description here; use Comments section if needed&gt;")),"X","")</f>
        <v/>
      </c>
      <c r="B16" s="147" t="s">
        <v>6272</v>
      </c>
      <c r="C16" s="3453" t="s">
        <v>7049</v>
      </c>
      <c r="D16" s="3453"/>
      <c r="E16" s="3453"/>
      <c r="F16" s="3454"/>
      <c r="G16" s="3257">
        <v>32000</v>
      </c>
      <c r="H16" s="3258"/>
      <c r="J16" s="3257">
        <v>32000</v>
      </c>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6366</v>
      </c>
      <c r="BA16" s="1706">
        <v>16</v>
      </c>
    </row>
    <row r="17" spans="1:53" s="144" customFormat="1" ht="11.25" customHeight="1" thickBot="1">
      <c r="A17" s="303" t="str">
        <f>IF(AND(G17&gt;0,OR(C17="",C17="&lt;Enter detailed description here; use Comments section if needed&gt;")),"X","")</f>
        <v/>
      </c>
      <c r="B17" s="147" t="s">
        <v>6273</v>
      </c>
      <c r="C17" s="3453" t="s">
        <v>6721</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6367</v>
      </c>
      <c r="BA17" s="1706">
        <v>17</v>
      </c>
    </row>
    <row r="18" spans="1:53" s="144" customFormat="1" ht="12.6" customHeight="1" thickTop="1">
      <c r="F18" s="281" t="s">
        <v>184</v>
      </c>
      <c r="G18" s="3370">
        <f>SUM(G9:G17)</f>
        <v>249500</v>
      </c>
      <c r="H18" s="3371"/>
      <c r="J18" s="3370">
        <f>SUM(J9:J17)</f>
        <v>249500</v>
      </c>
      <c r="K18" s="3371"/>
      <c r="L18" s="828"/>
      <c r="M18" s="3370">
        <f>SUM(M9:M17)</f>
        <v>0</v>
      </c>
      <c r="N18" s="3371"/>
      <c r="P18" s="3370">
        <f>SUM(P9:P17)</f>
        <v>0</v>
      </c>
      <c r="Q18" s="3371"/>
      <c r="S18" s="3370">
        <f>SUM(S9:S17)</f>
        <v>0</v>
      </c>
      <c r="T18" s="3371"/>
      <c r="V18" s="851">
        <f>SUM(V9:V17)</f>
        <v>0</v>
      </c>
      <c r="W18" s="3388"/>
      <c r="X18" s="338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125324.11408815903</v>
      </c>
      <c r="G20" s="3269">
        <v>1450000</v>
      </c>
      <c r="H20" s="3270"/>
      <c r="J20" s="283"/>
      <c r="K20" s="280"/>
      <c r="L20" s="283"/>
      <c r="M20" s="283"/>
      <c r="N20" s="280"/>
      <c r="P20" s="283"/>
      <c r="Q20" s="280"/>
      <c r="S20" s="3269">
        <v>1450000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1450000</v>
      </c>
      <c r="H24" s="3371"/>
      <c r="J24" s="283"/>
      <c r="K24" s="280"/>
      <c r="L24" s="283"/>
      <c r="M24" s="3370">
        <f>SUM(M22:M23)</f>
        <v>0</v>
      </c>
      <c r="N24" s="3371"/>
      <c r="P24" s="283"/>
      <c r="Q24" s="280"/>
      <c r="S24" s="3370">
        <f>SUM(S20:S23)</f>
        <v>1450000</v>
      </c>
      <c r="T24" s="3371"/>
      <c r="V24" s="851">
        <f>SUM(V20:V23)</f>
        <v>0</v>
      </c>
      <c r="W24" s="3388"/>
      <c r="X24" s="338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73465.859982713911</v>
      </c>
      <c r="G26" s="3269">
        <v>850000</v>
      </c>
      <c r="H26" s="3270"/>
      <c r="J26" s="3269">
        <v>100000</v>
      </c>
      <c r="K26" s="3270"/>
      <c r="L26" s="828"/>
      <c r="M26" s="3487"/>
      <c r="N26" s="3488"/>
      <c r="P26" s="3487"/>
      <c r="Q26" s="3488"/>
      <c r="S26" s="3269">
        <v>750000</v>
      </c>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850000</v>
      </c>
      <c r="H28" s="3371"/>
      <c r="J28" s="3370">
        <f>SUM(J26:J27)</f>
        <v>100000</v>
      </c>
      <c r="K28" s="3371"/>
      <c r="L28" s="283"/>
      <c r="M28" s="3370">
        <f>M26</f>
        <v>0</v>
      </c>
      <c r="N28" s="3371"/>
      <c r="P28" s="3370">
        <f>P26</f>
        <v>0</v>
      </c>
      <c r="Q28" s="3371"/>
      <c r="S28" s="3370">
        <f>SUM(S26:S27)</f>
        <v>750000</v>
      </c>
      <c r="T28" s="3371"/>
      <c r="V28" s="851">
        <f>SUM(V26:V27)</f>
        <v>0</v>
      </c>
      <c r="W28" s="3388"/>
      <c r="X28" s="338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14336460</v>
      </c>
      <c r="H30" s="3270"/>
      <c r="J30" s="3269">
        <v>14336460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6088</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6086</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6087</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14336460</v>
      </c>
      <c r="H36" s="3371"/>
      <c r="J36" s="3370">
        <f>SUM(J30:J35)</f>
        <v>14336460</v>
      </c>
      <c r="K36" s="3371"/>
      <c r="L36" s="828"/>
      <c r="M36" s="3370">
        <f>SUM(M30:M35)</f>
        <v>0</v>
      </c>
      <c r="N36" s="3371"/>
      <c r="P36" s="3370">
        <f>SUM(P30:P35)</f>
        <v>0</v>
      </c>
      <c r="Q36" s="3371"/>
      <c r="S36" s="3370">
        <f>SUM(S30:S35)</f>
        <v>0</v>
      </c>
      <c r="T36" s="3371"/>
      <c r="V36" s="851">
        <f>SUM(V30:V35)</f>
        <v>0</v>
      </c>
      <c r="W36" s="3388"/>
      <c r="X36" s="3389"/>
      <c r="AZ36" s="1968" t="s">
        <v>6371</v>
      </c>
      <c r="BA36" s="1706">
        <v>36</v>
      </c>
    </row>
    <row r="37" spans="1:53" s="144" customFormat="1" ht="12" customHeight="1">
      <c r="B37" s="243" t="s">
        <v>2163</v>
      </c>
      <c r="D37" s="3482" t="s">
        <v>3224</v>
      </c>
      <c r="E37" s="3482"/>
      <c r="F37" s="760">
        <f>SUM(F38:F40)</f>
        <v>0.13999990781261729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911187</v>
      </c>
      <c r="F38" s="1949">
        <f>IF(($G$28+$G$36)=0,0,G38/($G$28+$G$36))</f>
        <v>5.9999960491121697E-2</v>
      </c>
      <c r="G38" s="3269">
        <v>911187</v>
      </c>
      <c r="H38" s="3270"/>
      <c r="I38" s="145"/>
      <c r="J38" s="3269">
        <v>866188</v>
      </c>
      <c r="K38" s="3270"/>
      <c r="L38" s="828"/>
      <c r="M38" s="3269"/>
      <c r="N38" s="3270"/>
      <c r="P38" s="3269"/>
      <c r="Q38" s="3270"/>
      <c r="S38" s="3269">
        <v>44999</v>
      </c>
      <c r="T38" s="3270"/>
      <c r="V38" s="849"/>
      <c r="W38" s="3384"/>
      <c r="X38" s="3385"/>
      <c r="AZ38" s="1968"/>
      <c r="BA38" s="1706">
        <v>38</v>
      </c>
    </row>
    <row r="39" spans="1:53" s="144" customFormat="1" ht="11.25" customHeight="1">
      <c r="B39" s="144" t="s">
        <v>2475</v>
      </c>
      <c r="D39" s="1947">
        <f>'DCA Underwriting Assumptions'!$R$39</f>
        <v>0.02</v>
      </c>
      <c r="E39" s="1948">
        <f>ROUNDDOWN(D39*(G28+G36),0)</f>
        <v>303729</v>
      </c>
      <c r="F39" s="1949">
        <f>IF(($G$28+$G$36)=0,0,G39/($G$28+$G$36))</f>
        <v>1.9999986830373899E-2</v>
      </c>
      <c r="G39" s="3257">
        <v>303729</v>
      </c>
      <c r="H39" s="3258"/>
      <c r="I39" s="145"/>
      <c r="J39" s="3257">
        <v>288729</v>
      </c>
      <c r="K39" s="3258"/>
      <c r="L39" s="828"/>
      <c r="M39" s="3257"/>
      <c r="N39" s="3258"/>
      <c r="P39" s="3257"/>
      <c r="Q39" s="3258"/>
      <c r="S39" s="3257">
        <v>15000</v>
      </c>
      <c r="T39" s="3258"/>
      <c r="V39" s="849"/>
      <c r="W39" s="3384"/>
      <c r="X39" s="3385"/>
      <c r="AZ39" s="1968"/>
      <c r="BA39" s="1706">
        <v>39</v>
      </c>
    </row>
    <row r="40" spans="1:53" s="144" customFormat="1" ht="11.25" customHeight="1" thickBot="1">
      <c r="B40" s="144" t="s">
        <v>2476</v>
      </c>
      <c r="D40" s="1950">
        <f>'DCA Underwriting Assumptions'!$R$40</f>
        <v>0.06</v>
      </c>
      <c r="E40" s="1951">
        <f>ROUNDDOWN(D40*(G28+G36),0)</f>
        <v>911187</v>
      </c>
      <c r="F40" s="1952">
        <f>IF(($G$28+$G$36)=0,0,G40/($G$28+$G$36))</f>
        <v>5.9999960491121697E-2</v>
      </c>
      <c r="G40" s="3456">
        <v>911187</v>
      </c>
      <c r="H40" s="3457"/>
      <c r="I40" s="145"/>
      <c r="J40" s="3456">
        <v>866188</v>
      </c>
      <c r="K40" s="3457"/>
      <c r="L40" s="828"/>
      <c r="M40" s="3456"/>
      <c r="N40" s="3457"/>
      <c r="P40" s="3456"/>
      <c r="Q40" s="3457"/>
      <c r="S40" s="3456">
        <v>44999</v>
      </c>
      <c r="T40" s="3457"/>
      <c r="V40" s="849"/>
      <c r="W40" s="3386"/>
      <c r="X40" s="3387"/>
      <c r="AZ40" s="1968"/>
      <c r="BA40" s="1706">
        <v>40</v>
      </c>
    </row>
    <row r="41" spans="1:53" s="144" customFormat="1" ht="12.6" customHeight="1" thickTop="1">
      <c r="B41" s="147" t="s">
        <v>3225</v>
      </c>
      <c r="D41" s="761">
        <f>SUM(D38:D40)</f>
        <v>0.14000000000000001</v>
      </c>
      <c r="E41" s="762">
        <f>SUM(E38:E40)</f>
        <v>2126103</v>
      </c>
      <c r="F41" s="1946" t="s">
        <v>184</v>
      </c>
      <c r="G41" s="3370">
        <f>SUM(G38:G40)</f>
        <v>2126103</v>
      </c>
      <c r="H41" s="3371"/>
      <c r="J41" s="3370">
        <f>SUM(J38:J40)</f>
        <v>2021105</v>
      </c>
      <c r="K41" s="3371"/>
      <c r="L41" s="283"/>
      <c r="M41" s="3370">
        <f>SUM(M38:M40)</f>
        <v>0</v>
      </c>
      <c r="N41" s="3371"/>
      <c r="P41" s="3370">
        <f>SUM(P38:P40)</f>
        <v>0</v>
      </c>
      <c r="Q41" s="3371"/>
      <c r="S41" s="3370">
        <f>SUM(S38:S40)</f>
        <v>104998</v>
      </c>
      <c r="T41" s="3371"/>
      <c r="V41" s="851">
        <f>SUM(V38:V40)</f>
        <v>0</v>
      </c>
      <c r="W41" s="3388"/>
      <c r="X41" s="338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80">
        <f>G28+G36+G41</f>
        <v>17312563</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453" t="s">
        <v>7050</v>
      </c>
      <c r="D46" s="3478"/>
      <c r="E46" s="3478"/>
      <c r="F46" s="3479"/>
      <c r="G46" s="3474">
        <v>20000</v>
      </c>
      <c r="H46" s="3475"/>
      <c r="I46" s="144"/>
      <c r="J46" s="3474">
        <v>20000</v>
      </c>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6374</v>
      </c>
      <c r="BA47" s="1706">
        <v>47</v>
      </c>
    </row>
    <row r="48" spans="1:53" s="144" customFormat="1" ht="12.6" customHeight="1">
      <c r="B48" s="1665" t="s">
        <v>2479</v>
      </c>
      <c r="C48" s="1666"/>
      <c r="E48" s="3476" t="s">
        <v>2478</v>
      </c>
      <c r="F48" s="1667">
        <f>C49/'Part V-Revenues &amp; Expenses'!$P$65</f>
        <v>192584.03333333333</v>
      </c>
      <c r="G48" s="1668" t="s">
        <v>2492</v>
      </c>
      <c r="H48" s="1669"/>
      <c r="I48" s="1669"/>
      <c r="J48" s="3361">
        <f>C49/'Part V-Revenues &amp; Expenses'!$P$67</f>
        <v>192584.03333333333</v>
      </c>
      <c r="K48" s="3361"/>
      <c r="L48" s="1669"/>
      <c r="M48" s="3362" t="s">
        <v>6475</v>
      </c>
      <c r="N48" s="3362"/>
      <c r="O48" s="1669"/>
      <c r="P48" s="3361">
        <f>C49/'Part V-Revenues &amp; Expenses'!$K$175</f>
        <v>168.04889470622456</v>
      </c>
      <c r="Q48" s="3361"/>
      <c r="R48" s="1669"/>
      <c r="S48" s="3363" t="s">
        <v>6477</v>
      </c>
      <c r="T48" s="3364"/>
      <c r="V48" s="852"/>
      <c r="W48" s="3394"/>
      <c r="X48" s="3395"/>
      <c r="AZ48" s="1968"/>
      <c r="BA48" s="1706">
        <v>48</v>
      </c>
    </row>
    <row r="49" spans="1:53" s="144" customFormat="1" ht="12.6" customHeight="1">
      <c r="B49" s="1714" t="s">
        <v>6488</v>
      </c>
      <c r="C49" s="1713">
        <f>G28+G36+G41+G46</f>
        <v>17332563</v>
      </c>
      <c r="E49" s="3477"/>
      <c r="F49" s="1670">
        <f>C49/'Part V-Revenues &amp; Expenses'!$P$166</f>
        <v>221.81421807013052</v>
      </c>
      <c r="G49" s="1671" t="s">
        <v>2493</v>
      </c>
      <c r="H49" s="1672"/>
      <c r="I49" s="1672"/>
      <c r="J49" s="3365">
        <f>C49/'Part V-Revenues &amp; Expenses'!$P$168</f>
        <v>221.81421807013052</v>
      </c>
      <c r="K49" s="3365"/>
      <c r="L49" s="1672"/>
      <c r="M49" s="3366" t="s">
        <v>6476</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866628.15</v>
      </c>
      <c r="F55" s="1756">
        <f>G55/C49</f>
        <v>4.9942296473983683E-2</v>
      </c>
      <c r="G55" s="3474">
        <v>865628</v>
      </c>
      <c r="H55" s="3475"/>
      <c r="I55" s="144"/>
      <c r="J55" s="3474">
        <v>865628</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6297</v>
      </c>
      <c r="C57" s="1666"/>
      <c r="E57" s="3359" t="s">
        <v>6298</v>
      </c>
      <c r="F57" s="1667">
        <f>B58/'Part V-Revenues &amp; Expenses'!$P$65</f>
        <v>202202.12222222221</v>
      </c>
      <c r="G57" s="1668" t="s">
        <v>2492</v>
      </c>
      <c r="H57" s="1669"/>
      <c r="I57" s="1669"/>
      <c r="J57" s="3361">
        <f>B58/'Part V-Revenues &amp; Expenses'!$P$67</f>
        <v>202202.12222222221</v>
      </c>
      <c r="K57" s="3361"/>
      <c r="L57" s="1669"/>
      <c r="M57" s="3362" t="s">
        <v>6475</v>
      </c>
      <c r="N57" s="3362"/>
      <c r="O57" s="1669"/>
      <c r="P57" s="3361">
        <f>B58/'Part V-Revenues &amp; Expenses'!$K$175</f>
        <v>176.44164242776807</v>
      </c>
      <c r="Q57" s="3361"/>
      <c r="R57" s="1669"/>
      <c r="S57" s="3363" t="s">
        <v>6477</v>
      </c>
      <c r="T57" s="3364"/>
      <c r="V57" s="852"/>
      <c r="W57" s="3394"/>
      <c r="X57" s="3395"/>
      <c r="AZ57" s="1968"/>
      <c r="BA57" s="1706">
        <v>54</v>
      </c>
    </row>
    <row r="58" spans="1:53" s="144" customFormat="1" ht="12.6" customHeight="1">
      <c r="B58" s="3357">
        <f>C49+G55</f>
        <v>18198191</v>
      </c>
      <c r="C58" s="3358"/>
      <c r="E58" s="3360"/>
      <c r="F58" s="1670">
        <f>B58/'Part V-Revenues &amp; Expenses'!$P$166</f>
        <v>232.89212951113387</v>
      </c>
      <c r="G58" s="1671" t="s">
        <v>2493</v>
      </c>
      <c r="H58" s="1672"/>
      <c r="I58" s="1672"/>
      <c r="J58" s="3365">
        <f>B58/'Part V-Revenues &amp; Expenses'!$P$168</f>
        <v>232.89212951113387</v>
      </c>
      <c r="K58" s="3365"/>
      <c r="L58" s="1672"/>
      <c r="M58" s="3366" t="s">
        <v>6476</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143750</v>
      </c>
      <c r="H63" s="3258"/>
      <c r="J63" s="3257">
        <v>93438</v>
      </c>
      <c r="K63" s="3258"/>
      <c r="L63" s="828"/>
      <c r="M63" s="3257"/>
      <c r="N63" s="3258"/>
      <c r="P63" s="3257"/>
      <c r="Q63" s="3258"/>
      <c r="S63" s="3257">
        <v>50312</v>
      </c>
      <c r="T63" s="3258"/>
      <c r="V63" s="853"/>
      <c r="W63" s="3384"/>
      <c r="X63" s="3385"/>
      <c r="AZ63" s="1968"/>
      <c r="BA63" s="1706">
        <v>63</v>
      </c>
    </row>
    <row r="64" spans="1:53" s="144" customFormat="1" ht="12" customHeight="1">
      <c r="B64" s="144" t="s">
        <v>2167</v>
      </c>
      <c r="G64" s="3257">
        <v>866342</v>
      </c>
      <c r="H64" s="3258"/>
      <c r="J64" s="3257">
        <v>563122</v>
      </c>
      <c r="K64" s="3258"/>
      <c r="L64" s="828"/>
      <c r="M64" s="3257"/>
      <c r="N64" s="3258"/>
      <c r="P64" s="3257"/>
      <c r="Q64" s="3258"/>
      <c r="S64" s="3257">
        <v>303220</v>
      </c>
      <c r="T64" s="3258"/>
      <c r="V64" s="853"/>
      <c r="W64" s="3384"/>
      <c r="X64" s="3385"/>
      <c r="AZ64" s="1968"/>
      <c r="BA64" s="1706">
        <v>64</v>
      </c>
    </row>
    <row r="65" spans="1:53" s="144" customFormat="1" ht="12" customHeight="1">
      <c r="B65" s="144" t="s">
        <v>2168</v>
      </c>
      <c r="G65" s="3257">
        <v>50000</v>
      </c>
      <c r="H65" s="3258"/>
      <c r="J65" s="3257">
        <v>32500</v>
      </c>
      <c r="K65" s="3258"/>
      <c r="L65" s="828"/>
      <c r="M65" s="3257"/>
      <c r="N65" s="3258"/>
      <c r="P65" s="3257"/>
      <c r="Q65" s="3258"/>
      <c r="S65" s="3257">
        <v>17500</v>
      </c>
      <c r="T65" s="3258"/>
      <c r="V65" s="853"/>
      <c r="W65" s="3384"/>
      <c r="X65" s="3385"/>
      <c r="AZ65" s="1968" t="s">
        <v>6375</v>
      </c>
      <c r="BA65" s="1706">
        <v>65</v>
      </c>
    </row>
    <row r="66" spans="1:53" s="144" customFormat="1" ht="12" customHeight="1">
      <c r="B66" s="144" t="s">
        <v>2450</v>
      </c>
      <c r="G66" s="3257">
        <v>20000</v>
      </c>
      <c r="H66" s="3258"/>
      <c r="J66" s="3257">
        <v>13000</v>
      </c>
      <c r="K66" s="3258"/>
      <c r="L66" s="828"/>
      <c r="M66" s="3257"/>
      <c r="N66" s="3258"/>
      <c r="P66" s="3257"/>
      <c r="Q66" s="3258"/>
      <c r="S66" s="3257">
        <v>7000</v>
      </c>
      <c r="T66" s="3258"/>
      <c r="V66" s="853"/>
      <c r="W66" s="3384"/>
      <c r="X66" s="3385"/>
      <c r="AZ66" s="1968" t="s">
        <v>6376</v>
      </c>
      <c r="BA66" s="1706">
        <v>66</v>
      </c>
    </row>
    <row r="67" spans="1:53" s="144" customFormat="1" ht="12" customHeight="1">
      <c r="B67" s="144" t="s">
        <v>676</v>
      </c>
      <c r="G67" s="3257">
        <v>20000</v>
      </c>
      <c r="H67" s="3258"/>
      <c r="J67" s="3257">
        <v>20000</v>
      </c>
      <c r="K67" s="3258"/>
      <c r="L67" s="828"/>
      <c r="M67" s="3257"/>
      <c r="N67" s="3258"/>
      <c r="P67" s="3257"/>
      <c r="Q67" s="3258"/>
      <c r="S67" s="3257"/>
      <c r="T67" s="3258"/>
      <c r="V67" s="853"/>
      <c r="W67" s="3384"/>
      <c r="X67" s="3385"/>
      <c r="AZ67" s="1968" t="s">
        <v>6377</v>
      </c>
      <c r="BA67" s="1706">
        <v>67</v>
      </c>
    </row>
    <row r="68" spans="1:53" s="144" customFormat="1" ht="12" customHeight="1">
      <c r="B68" s="144" t="s">
        <v>2169</v>
      </c>
      <c r="G68" s="3257">
        <v>75000</v>
      </c>
      <c r="H68" s="3258"/>
      <c r="J68" s="3257">
        <v>75000</v>
      </c>
      <c r="K68" s="3258"/>
      <c r="L68" s="828"/>
      <c r="M68" s="3257"/>
      <c r="N68" s="3258"/>
      <c r="P68" s="3257"/>
      <c r="Q68" s="3258"/>
      <c r="S68" s="3257"/>
      <c r="T68" s="3258"/>
      <c r="V68" s="853"/>
      <c r="W68" s="3384"/>
      <c r="X68" s="3385"/>
      <c r="AZ68" s="1968"/>
      <c r="BA68" s="1706">
        <v>68</v>
      </c>
    </row>
    <row r="69" spans="1:53" s="144" customFormat="1" ht="12" customHeight="1">
      <c r="B69" s="144" t="s">
        <v>1200</v>
      </c>
      <c r="G69" s="3257"/>
      <c r="H69" s="3258"/>
      <c r="J69" s="3257"/>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6276</v>
      </c>
      <c r="C71" s="3470" t="s">
        <v>6721</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6277</v>
      </c>
      <c r="C72" s="3472" t="s">
        <v>6721</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1175092</v>
      </c>
      <c r="H73" s="3371"/>
      <c r="J73" s="3370">
        <f>SUM(J61:J72)</f>
        <v>797060</v>
      </c>
      <c r="K73" s="3371"/>
      <c r="L73" s="283"/>
      <c r="M73" s="3370">
        <f>SUM(M61:M72)</f>
        <v>0</v>
      </c>
      <c r="N73" s="3371"/>
      <c r="P73" s="3370">
        <f>SUM(P61:P72)</f>
        <v>0</v>
      </c>
      <c r="Q73" s="3371"/>
      <c r="S73" s="3370">
        <f>SUM(S61:S72)</f>
        <v>378032</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306000</v>
      </c>
      <c r="H75" s="3270"/>
      <c r="J75" s="3269">
        <v>306000</v>
      </c>
      <c r="K75" s="3270"/>
      <c r="L75" s="828"/>
      <c r="M75" s="3269"/>
      <c r="N75" s="3270"/>
      <c r="P75" s="3269"/>
      <c r="Q75" s="3270"/>
      <c r="S75" s="3269"/>
      <c r="T75" s="3270"/>
      <c r="V75" s="849"/>
      <c r="W75" s="3384"/>
      <c r="X75" s="3385"/>
      <c r="AZ75" s="1968"/>
      <c r="BA75" s="1706">
        <v>75</v>
      </c>
    </row>
    <row r="76" spans="1:53" s="144" customFormat="1" ht="12" customHeight="1">
      <c r="B76" s="144" t="s">
        <v>451</v>
      </c>
      <c r="G76" s="3257">
        <v>25000</v>
      </c>
      <c r="H76" s="3258"/>
      <c r="J76" s="3257">
        <v>25000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20000</v>
      </c>
      <c r="H77" s="3258"/>
      <c r="J77" s="3257">
        <v>20000</v>
      </c>
      <c r="K77" s="3258"/>
      <c r="L77" s="828"/>
      <c r="M77" s="3257"/>
      <c r="N77" s="3258"/>
      <c r="P77" s="3257"/>
      <c r="Q77" s="3258"/>
      <c r="S77" s="3257"/>
      <c r="T77" s="3258"/>
      <c r="V77" s="849"/>
      <c r="W77" s="3384"/>
      <c r="X77" s="3385"/>
      <c r="AZ77" s="1968"/>
      <c r="BA77" s="1706">
        <v>77</v>
      </c>
    </row>
    <row r="78" spans="1:53" s="144" customFormat="1" ht="12" customHeight="1">
      <c r="B78" s="144" t="s">
        <v>1062</v>
      </c>
      <c r="G78" s="3257"/>
      <c r="H78" s="3258"/>
      <c r="J78" s="3257"/>
      <c r="K78" s="3258"/>
      <c r="L78" s="828"/>
      <c r="M78" s="3257"/>
      <c r="N78" s="3258"/>
      <c r="P78" s="3257"/>
      <c r="Q78" s="3258"/>
      <c r="S78" s="3257"/>
      <c r="T78" s="3258"/>
      <c r="V78" s="849"/>
      <c r="W78" s="3384"/>
      <c r="X78" s="3385"/>
      <c r="AZ78" s="1968"/>
      <c r="BA78" s="1706">
        <v>78</v>
      </c>
    </row>
    <row r="79" spans="1:53" s="144" customFormat="1" ht="12" customHeight="1">
      <c r="B79" s="144" t="s">
        <v>1063</v>
      </c>
      <c r="G79" s="3257">
        <v>28000</v>
      </c>
      <c r="H79" s="3258"/>
      <c r="J79" s="3257">
        <v>28000</v>
      </c>
      <c r="K79" s="3258"/>
      <c r="L79" s="828"/>
      <c r="M79" s="3257"/>
      <c r="N79" s="3258"/>
      <c r="P79" s="3257"/>
      <c r="Q79" s="3258"/>
      <c r="S79" s="3257"/>
      <c r="T79" s="3258"/>
      <c r="V79" s="849"/>
      <c r="W79" s="3384"/>
      <c r="X79" s="3385"/>
      <c r="AZ79" s="1968" t="s">
        <v>6378</v>
      </c>
      <c r="BA79" s="1706">
        <v>79</v>
      </c>
    </row>
    <row r="80" spans="1:53" s="144" customFormat="1" ht="12" customHeight="1">
      <c r="B80" s="144" t="s">
        <v>1064</v>
      </c>
      <c r="G80" s="3257"/>
      <c r="H80" s="3258"/>
      <c r="J80" s="3257"/>
      <c r="K80" s="3258"/>
      <c r="L80" s="828"/>
      <c r="M80" s="3257"/>
      <c r="N80" s="3258"/>
      <c r="P80" s="3257"/>
      <c r="Q80" s="3258"/>
      <c r="S80" s="3257"/>
      <c r="T80" s="3258"/>
      <c r="V80" s="849"/>
      <c r="W80" s="3384"/>
      <c r="X80" s="3385"/>
      <c r="AZ80" s="1968" t="s">
        <v>6379</v>
      </c>
      <c r="BA80" s="1706">
        <v>80</v>
      </c>
    </row>
    <row r="81" spans="1:53" s="144" customFormat="1" ht="12" customHeight="1">
      <c r="B81" s="144" t="s">
        <v>452</v>
      </c>
      <c r="G81" s="3257">
        <v>195000</v>
      </c>
      <c r="H81" s="3258"/>
      <c r="J81" s="3257">
        <v>195000</v>
      </c>
      <c r="K81" s="3258"/>
      <c r="L81" s="828"/>
      <c r="M81" s="3257"/>
      <c r="N81" s="3258"/>
      <c r="P81" s="3257"/>
      <c r="Q81" s="3258"/>
      <c r="S81" s="3257"/>
      <c r="T81" s="3258"/>
      <c r="V81" s="849"/>
      <c r="W81" s="3384"/>
      <c r="X81" s="3385"/>
      <c r="AZ81" s="744"/>
      <c r="BA81" s="1706">
        <v>81</v>
      </c>
    </row>
    <row r="82" spans="1:53" s="144" customFormat="1" ht="12" customHeight="1">
      <c r="B82" s="144" t="s">
        <v>453</v>
      </c>
      <c r="G82" s="3257">
        <v>85000</v>
      </c>
      <c r="H82" s="3258"/>
      <c r="J82" s="3257">
        <v>42500</v>
      </c>
      <c r="K82" s="3258"/>
      <c r="L82" s="828"/>
      <c r="M82" s="3257"/>
      <c r="N82" s="3258"/>
      <c r="P82" s="3257"/>
      <c r="Q82" s="3258"/>
      <c r="S82" s="3257">
        <v>42500</v>
      </c>
      <c r="T82" s="3258"/>
      <c r="V82" s="849"/>
      <c r="W82" s="3384"/>
      <c r="X82" s="3385"/>
      <c r="AZ82" s="1968"/>
      <c r="BA82" s="1706">
        <v>82</v>
      </c>
    </row>
    <row r="83" spans="1:53" s="144" customFormat="1" ht="12" customHeight="1">
      <c r="B83" s="144" t="s">
        <v>1899</v>
      </c>
      <c r="G83" s="3257">
        <v>40000</v>
      </c>
      <c r="H83" s="3258"/>
      <c r="J83" s="3257">
        <v>40000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10000</v>
      </c>
      <c r="H84" s="3258"/>
      <c r="J84" s="3257">
        <v>10000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6278</v>
      </c>
      <c r="C85" s="3453" t="s">
        <v>7051</v>
      </c>
      <c r="D85" s="3453"/>
      <c r="E85" s="3453"/>
      <c r="F85" s="3454"/>
      <c r="G85" s="3261">
        <v>6500</v>
      </c>
      <c r="H85" s="3262"/>
      <c r="J85" s="3261">
        <v>6500</v>
      </c>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715500</v>
      </c>
      <c r="H86" s="3371"/>
      <c r="J86" s="3370">
        <f>SUM(J75:J85)</f>
        <v>673000</v>
      </c>
      <c r="K86" s="3371"/>
      <c r="L86" s="283"/>
      <c r="M86" s="3370">
        <f>SUM(M75:M85)</f>
        <v>0</v>
      </c>
      <c r="N86" s="3371"/>
      <c r="P86" s="3370">
        <f>SUM(P75:P85)</f>
        <v>0</v>
      </c>
      <c r="Q86" s="3371"/>
      <c r="S86" s="3370">
        <f>SUM(S75:S85)</f>
        <v>42500</v>
      </c>
      <c r="T86" s="3371"/>
      <c r="V86" s="851">
        <f>SUM(V75:V85)</f>
        <v>0</v>
      </c>
      <c r="W86" s="3388"/>
      <c r="X86" s="3389"/>
      <c r="AZ86" s="1968" t="s">
        <v>6380</v>
      </c>
      <c r="BA86" s="1706">
        <v>86</v>
      </c>
    </row>
    <row r="87" spans="1:53" ht="12" customHeight="1">
      <c r="A87" s="144"/>
      <c r="B87" s="243" t="s">
        <v>1193</v>
      </c>
      <c r="C87" s="144"/>
      <c r="D87" s="690" t="s">
        <v>3228</v>
      </c>
      <c r="E87" s="763">
        <f>G92/'Part V-Revenues &amp; Expenses'!$P$67</f>
        <v>2434.5555555555557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91355</v>
      </c>
      <c r="H88" s="3270"/>
      <c r="J88" s="3269">
        <v>91335</v>
      </c>
      <c r="K88" s="3270"/>
      <c r="L88" s="828"/>
      <c r="M88" s="3269"/>
      <c r="N88" s="3270"/>
      <c r="P88" s="3269"/>
      <c r="Q88" s="3270"/>
      <c r="S88" s="3269"/>
      <c r="T88" s="3270"/>
      <c r="V88" s="849"/>
      <c r="W88" s="3384"/>
      <c r="X88" s="3385"/>
      <c r="AZ88" s="1968"/>
      <c r="BA88" s="1706">
        <v>88</v>
      </c>
    </row>
    <row r="89" spans="1:53" s="144" customFormat="1" ht="12" customHeight="1">
      <c r="B89" s="144" t="s">
        <v>1195</v>
      </c>
      <c r="G89" s="3257">
        <v>127755</v>
      </c>
      <c r="H89" s="3258"/>
      <c r="J89" s="3257">
        <v>127775</v>
      </c>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t="s">
        <v>7052</v>
      </c>
      <c r="H90" s="3258"/>
      <c r="I90" s="145"/>
      <c r="J90" s="3257"/>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t="s">
        <v>7052</v>
      </c>
      <c r="H91" s="3262"/>
      <c r="I91" s="145"/>
      <c r="J91" s="3261"/>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219110</v>
      </c>
      <c r="H92" s="3371"/>
      <c r="J92" s="3370">
        <f>SUM(J88:J91)</f>
        <v>219110</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69">
        <v>72738</v>
      </c>
      <c r="H97" s="3270"/>
      <c r="J97" s="3461"/>
      <c r="K97" s="3461"/>
      <c r="L97" s="828"/>
      <c r="M97" s="3461"/>
      <c r="N97" s="3461"/>
      <c r="P97" s="3461"/>
      <c r="Q97" s="3461"/>
      <c r="S97" s="3269">
        <v>72738</v>
      </c>
      <c r="T97" s="3270"/>
      <c r="V97" s="849"/>
      <c r="W97" s="3384"/>
      <c r="X97" s="3385"/>
      <c r="AZ97" s="1968" t="s">
        <v>6382</v>
      </c>
      <c r="BA97" s="1706">
        <v>97</v>
      </c>
    </row>
    <row r="98" spans="1:53" s="144" customFormat="1" ht="12" customHeight="1">
      <c r="B98" s="144" t="s">
        <v>1199</v>
      </c>
      <c r="G98" s="3257">
        <v>50000</v>
      </c>
      <c r="H98" s="3258"/>
      <c r="J98" s="3461"/>
      <c r="K98" s="3461"/>
      <c r="L98" s="828"/>
      <c r="M98" s="3461"/>
      <c r="N98" s="3461"/>
      <c r="P98" s="3461"/>
      <c r="Q98" s="3461"/>
      <c r="S98" s="3257">
        <v>50000</v>
      </c>
      <c r="T98" s="3258"/>
      <c r="V98" s="849"/>
      <c r="W98" s="3384"/>
      <c r="X98" s="3385"/>
      <c r="AZ98" s="1968"/>
      <c r="BA98" s="1706">
        <v>98</v>
      </c>
    </row>
    <row r="99" spans="1:53" s="144" customFormat="1" ht="12" customHeight="1">
      <c r="B99" s="144" t="s">
        <v>1200</v>
      </c>
      <c r="G99" s="3257">
        <v>75000</v>
      </c>
      <c r="H99" s="3258"/>
      <c r="J99" s="3461"/>
      <c r="K99" s="3461"/>
      <c r="L99" s="828"/>
      <c r="M99" s="3461"/>
      <c r="N99" s="3461"/>
      <c r="P99" s="3461"/>
      <c r="Q99" s="3461"/>
      <c r="S99" s="3257">
        <v>75000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6279</v>
      </c>
      <c r="C102" s="3453" t="s">
        <v>6721</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197738</v>
      </c>
      <c r="H103" s="3371"/>
      <c r="J103" s="3461"/>
      <c r="K103" s="3461"/>
      <c r="L103" s="283"/>
      <c r="M103" s="3461"/>
      <c r="N103" s="3461"/>
      <c r="P103" s="3461"/>
      <c r="Q103" s="3461"/>
      <c r="S103" s="3370">
        <f>SUM(S97:S102)</f>
        <v>197738</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3151</v>
      </c>
      <c r="AB106" s="1931"/>
      <c r="AC106" s="1931"/>
      <c r="AD106" s="1932">
        <f>'Part V-Revenues &amp; Expenses'!$P$67</f>
        <v>90</v>
      </c>
      <c r="AZ106" s="1968" t="s">
        <v>6383</v>
      </c>
      <c r="BA106" s="1706">
        <v>106</v>
      </c>
    </row>
    <row r="107" spans="1:53" s="144" customFormat="1" ht="12.6" customHeight="1">
      <c r="B107" s="144" t="s">
        <v>3318</v>
      </c>
      <c r="G107" s="3257">
        <v>2500</v>
      </c>
      <c r="H107" s="3258"/>
      <c r="J107" s="283"/>
      <c r="K107" s="283"/>
      <c r="L107" s="290"/>
      <c r="M107" s="283"/>
      <c r="N107" s="283"/>
      <c r="P107" s="283"/>
      <c r="Q107" s="283"/>
      <c r="S107" s="3257">
        <v>2500</v>
      </c>
      <c r="T107" s="3258"/>
      <c r="V107" s="849"/>
      <c r="W107" s="3384"/>
      <c r="X107" s="3385"/>
      <c r="Y107" s="3499"/>
      <c r="Z107" s="301"/>
      <c r="AA107" s="225" t="s">
        <v>6708</v>
      </c>
      <c r="AB107" s="147"/>
      <c r="AC107" s="147"/>
      <c r="AD107" s="147"/>
      <c r="AF107" s="1936" t="s">
        <v>6709</v>
      </c>
      <c r="AZ107" s="1968" t="s">
        <v>6384</v>
      </c>
      <c r="BA107" s="1706">
        <v>107</v>
      </c>
    </row>
    <row r="108" spans="1:53" s="144" customFormat="1" ht="12.6" customHeight="1">
      <c r="B108" s="144" t="s">
        <v>486</v>
      </c>
      <c r="E108" s="3464">
        <f>ROUNDUP('DCA Underwriting Assumptions'!$Q$56*J191,0)</f>
        <v>98000</v>
      </c>
      <c r="F108" s="3465"/>
      <c r="G108" s="3257">
        <v>98000</v>
      </c>
      <c r="H108" s="3258"/>
      <c r="J108" s="764" t="str">
        <f>IF(E108&gt;G108,"WARNING!  LIHTC Allocation Fee proposed is below minimum required.","")</f>
        <v/>
      </c>
      <c r="K108" s="283"/>
      <c r="L108" s="828"/>
      <c r="M108" s="283"/>
      <c r="N108" s="283"/>
      <c r="P108" s="283"/>
      <c r="Q108" s="283"/>
      <c r="S108" s="3257">
        <v>98000</v>
      </c>
      <c r="T108" s="3258"/>
      <c r="V108" s="849"/>
      <c r="W108" s="3384"/>
      <c r="X108" s="3385"/>
      <c r="Y108" s="3499"/>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64">
        <f>AF111+AF115</f>
        <v>72000</v>
      </c>
      <c r="F109" s="3465"/>
      <c r="G109" s="3257">
        <v>72000</v>
      </c>
      <c r="H109" s="3258"/>
      <c r="I109" s="3496" t="str">
        <f>IF(E109&gt;G109,"WARNING!  LIHTC Compliance Fee proposed is below minimum required.","")</f>
        <v/>
      </c>
      <c r="J109" s="3497"/>
      <c r="K109" s="3497"/>
      <c r="L109" s="3497"/>
      <c r="M109" s="3497"/>
      <c r="N109" s="3497"/>
      <c r="O109" s="3497"/>
      <c r="P109" s="3497"/>
      <c r="Q109" s="3497"/>
      <c r="R109" s="3498"/>
      <c r="S109" s="3257">
        <v>72000</v>
      </c>
      <c r="T109" s="3258"/>
      <c r="V109" s="849"/>
      <c r="W109" s="3384"/>
      <c r="X109" s="3385"/>
      <c r="Y109" s="3499"/>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7">
        <v>3000</v>
      </c>
      <c r="H110" s="3258"/>
      <c r="I110" s="3496"/>
      <c r="J110" s="3497"/>
      <c r="K110" s="3497"/>
      <c r="L110" s="3497"/>
      <c r="M110" s="3497"/>
      <c r="N110" s="3497"/>
      <c r="O110" s="3497"/>
      <c r="P110" s="3497"/>
      <c r="Q110" s="3497"/>
      <c r="R110" s="3498"/>
      <c r="S110" s="3257">
        <v>3000</v>
      </c>
      <c r="T110" s="3258"/>
      <c r="V110" s="849"/>
      <c r="W110" s="3384"/>
      <c r="X110" s="3385"/>
      <c r="Y110" s="3499"/>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70" t="s">
        <v>6721</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72" t="s">
        <v>6721</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90</v>
      </c>
      <c r="AF113" s="1934">
        <f>IF($AD$105="Income Averaging",AD113*'DCA Underwriting Assumptions'!$Q$61,AD113*'DCA Underwriting Assumptions'!$Q$60)</f>
        <v>72000</v>
      </c>
      <c r="AZ113" s="1968" t="s">
        <v>6386</v>
      </c>
      <c r="BA113" s="1706">
        <v>113</v>
      </c>
    </row>
    <row r="114" spans="1:53" s="144" customFormat="1" ht="12.6" customHeight="1" thickTop="1">
      <c r="F114" s="281" t="s">
        <v>184</v>
      </c>
      <c r="G114" s="3370">
        <f>SUM(G105:G113)</f>
        <v>193500</v>
      </c>
      <c r="H114" s="3371"/>
      <c r="J114" s="283"/>
      <c r="K114" s="283"/>
      <c r="L114" s="828"/>
      <c r="M114" s="283"/>
      <c r="N114" s="283"/>
      <c r="P114" s="283"/>
      <c r="Q114" s="283"/>
      <c r="S114" s="3370">
        <f>SUM(S105:S113)</f>
        <v>193500</v>
      </c>
      <c r="T114" s="3371"/>
      <c r="V114" s="851">
        <f>SUM(V105:V113)</f>
        <v>0</v>
      </c>
      <c r="W114" s="3390"/>
      <c r="X114" s="3391"/>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90</v>
      </c>
      <c r="AF115" s="1935">
        <f>SUM(AF113:AF114)</f>
        <v>72000</v>
      </c>
      <c r="AZ115" s="1959"/>
      <c r="BA115" s="1706">
        <v>115</v>
      </c>
    </row>
    <row r="116" spans="1:53" s="144" customFormat="1" ht="12.6" customHeight="1">
      <c r="B116" s="144" t="s">
        <v>267</v>
      </c>
      <c r="G116" s="3269"/>
      <c r="H116" s="3270"/>
      <c r="J116" s="3461"/>
      <c r="K116" s="3461"/>
      <c r="L116" s="828"/>
      <c r="M116" s="3461"/>
      <c r="N116" s="3461"/>
      <c r="P116" s="3461"/>
      <c r="Q116" s="3461"/>
      <c r="S116" s="3269"/>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v>25000</v>
      </c>
      <c r="H118" s="3258"/>
      <c r="J118" s="3461"/>
      <c r="K118" s="3461"/>
      <c r="L118" s="828"/>
      <c r="M118" s="3461"/>
      <c r="N118" s="3461"/>
      <c r="P118" s="3461"/>
      <c r="Q118" s="3461"/>
      <c r="S118" s="3257">
        <v>25000</v>
      </c>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6275</v>
      </c>
      <c r="C119" s="3453" t="s">
        <v>6721</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25000</v>
      </c>
      <c r="H120" s="3371"/>
      <c r="J120" s="3461"/>
      <c r="K120" s="3461"/>
      <c r="L120" s="828"/>
      <c r="M120" s="3461"/>
      <c r="N120" s="3461"/>
      <c r="P120" s="3461"/>
      <c r="Q120" s="3461"/>
      <c r="S120" s="3370">
        <f>SUM(S116:S119)</f>
        <v>25000</v>
      </c>
      <c r="T120" s="3371"/>
      <c r="V120" s="851">
        <f>SUM(V116:V119)</f>
        <v>0</v>
      </c>
      <c r="W120" s="3388"/>
      <c r="X120" s="3389"/>
      <c r="AC120" s="3494" t="s">
        <v>3922</v>
      </c>
      <c r="AD120" s="3494" t="s">
        <v>3923</v>
      </c>
      <c r="AE120" s="3340" t="s">
        <v>3926</v>
      </c>
      <c r="AF120" s="3489" t="s">
        <v>3924</v>
      </c>
      <c r="AG120" s="3340" t="s">
        <v>3915</v>
      </c>
      <c r="AH120" s="3331" t="s">
        <v>6742</v>
      </c>
      <c r="AI120" s="3331"/>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495"/>
      <c r="AD121" s="3495"/>
      <c r="AE121" s="3139"/>
      <c r="AF121" s="3490"/>
      <c r="AG121" s="3340"/>
      <c r="AH121" s="3331"/>
      <c r="AI121" s="3331"/>
      <c r="AK121" s="44"/>
      <c r="AZ121" s="1959" t="s">
        <v>6388</v>
      </c>
      <c r="BA121" s="1706">
        <v>121</v>
      </c>
    </row>
    <row r="122" spans="1:53" s="144" customFormat="1" ht="12.6" customHeight="1">
      <c r="B122" s="144" t="s">
        <v>1724</v>
      </c>
      <c r="F122" s="323">
        <f>IF($G$127=0,0,G122/$G$127)</f>
        <v>0.5</v>
      </c>
      <c r="G122" s="3458">
        <v>1000000</v>
      </c>
      <c r="H122" s="3458"/>
      <c r="J122" s="3459">
        <v>1000000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2000000</v>
      </c>
      <c r="AG122" s="3344">
        <f>'DCA Underwriting Assumptions'!$Q$74</f>
        <v>2000000</v>
      </c>
      <c r="AH122" s="3332">
        <f>MIN(AF122,AG122)</f>
        <v>2000000</v>
      </c>
      <c r="AI122" s="3333"/>
      <c r="AZ122" s="1959"/>
      <c r="BA122" s="1706">
        <v>122</v>
      </c>
    </row>
    <row r="123" spans="1:53" s="144" customFormat="1" ht="12.6" customHeight="1">
      <c r="B123" s="144" t="s">
        <v>3411</v>
      </c>
      <c r="F123" s="949"/>
      <c r="G123" s="241" t="s">
        <v>6722</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43"/>
      <c r="AG124" s="3346"/>
      <c r="AH124" s="3336"/>
      <c r="AI124" s="3337"/>
      <c r="AZ124" s="1959"/>
      <c r="BA124" s="1706">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2145000</v>
      </c>
      <c r="AG125" s="3341">
        <f>'DCA Underwriting Assumptions'!$Q$75</f>
        <v>3500000</v>
      </c>
      <c r="AH125" s="3332">
        <f>MIN(AF125,AG125)</f>
        <v>2145000</v>
      </c>
      <c r="AI125" s="3333"/>
      <c r="AZ125" s="1959"/>
      <c r="BA125" s="1706">
        <v>125</v>
      </c>
    </row>
    <row r="126" spans="1:53" s="144" customFormat="1" ht="12.6" customHeight="1" thickBot="1">
      <c r="B126" s="144" t="s">
        <v>1717</v>
      </c>
      <c r="F126" s="323">
        <f>IF($G$127=0,0,G126/$G$127)</f>
        <v>0.5</v>
      </c>
      <c r="G126" s="3261">
        <v>1000000</v>
      </c>
      <c r="H126" s="3262"/>
      <c r="J126" s="3261">
        <v>1000000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2000000</v>
      </c>
      <c r="F127" s="281" t="s">
        <v>184</v>
      </c>
      <c r="G127" s="3370">
        <f>SUM(G122:G126)</f>
        <v>2000000</v>
      </c>
      <c r="H127" s="3455"/>
      <c r="J127" s="3370">
        <f>SUM(J122:J126)</f>
        <v>2000000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330000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69">
        <v>75000</v>
      </c>
      <c r="H129" s="3270"/>
      <c r="J129" s="291"/>
      <c r="K129" s="291"/>
      <c r="L129" s="291"/>
      <c r="M129" s="291"/>
      <c r="N129" s="291"/>
      <c r="P129" s="291"/>
      <c r="Q129" s="291"/>
      <c r="S129" s="3269">
        <v>75000</v>
      </c>
      <c r="T129" s="3270"/>
      <c r="V129" s="849"/>
      <c r="W129" s="3384"/>
      <c r="X129" s="3385"/>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127723</v>
      </c>
      <c r="G130" s="3257">
        <v>127723</v>
      </c>
      <c r="H130" s="3258"/>
      <c r="J130" s="765" t="str">
        <f>IF(E130&gt;G130,"WARNING! Rent-Up Reserves proposed is below minimum - add comment.","")</f>
        <v/>
      </c>
      <c r="K130" s="765"/>
      <c r="L130" s="828"/>
      <c r="M130" s="750"/>
      <c r="N130" s="750"/>
      <c r="P130" s="750"/>
      <c r="Q130" s="750"/>
      <c r="S130" s="3257">
        <v>127723</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511662.61400011659</v>
      </c>
      <c r="G131" s="3257">
        <v>511662</v>
      </c>
      <c r="H131" s="3258"/>
      <c r="J131" s="765" t="str">
        <f>IF(E131&gt;G131,"WARNING! ODR proposed is below minimum - add comment.","")</f>
        <v/>
      </c>
      <c r="K131" s="290"/>
      <c r="L131" s="290"/>
      <c r="M131" s="290"/>
      <c r="N131" s="290"/>
      <c r="P131" s="290"/>
      <c r="Q131" s="290"/>
      <c r="S131" s="3257">
        <v>511662</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6391</v>
      </c>
      <c r="BA132" s="1706">
        <v>132</v>
      </c>
    </row>
    <row r="133" spans="1:53" s="144" customFormat="1" ht="12.6" customHeight="1">
      <c r="B133" s="144" t="s">
        <v>1171</v>
      </c>
      <c r="E133" s="658" t="s">
        <v>3137</v>
      </c>
      <c r="F133" s="365">
        <f>IF('Part V-Revenues &amp; Expenses'!$P$67=0,0,G133/'Part V-Revenues &amp; Expenses'!$P$67)</f>
        <v>2277.7777777777778</v>
      </c>
      <c r="G133" s="3257">
        <v>205000</v>
      </c>
      <c r="H133" s="3258"/>
      <c r="J133" s="3269">
        <v>205000</v>
      </c>
      <c r="K133" s="3270"/>
      <c r="L133" s="828"/>
      <c r="M133" s="3269"/>
      <c r="N133" s="3270"/>
      <c r="P133" s="3269"/>
      <c r="Q133" s="3270"/>
      <c r="S133" s="3257"/>
      <c r="T133" s="3258"/>
      <c r="V133" s="849"/>
      <c r="W133" s="3384"/>
      <c r="X133" s="3385"/>
      <c r="AZ133" s="1968" t="s">
        <v>6392</v>
      </c>
      <c r="BA133" s="1706">
        <v>133</v>
      </c>
    </row>
    <row r="134" spans="1:53" s="144" customFormat="1" ht="12.6" customHeight="1" thickBot="1">
      <c r="A134" s="303" t="str">
        <f>IF(AND(G134&gt;0,OR(C134="",C134="&lt;Enter detailed description here; use Comments section if needed&gt;")),"X","")</f>
        <v/>
      </c>
      <c r="B134" s="147" t="s">
        <v>6275</v>
      </c>
      <c r="C134" s="3453" t="s">
        <v>7053</v>
      </c>
      <c r="D134" s="3453"/>
      <c r="E134" s="3453"/>
      <c r="F134" s="3454"/>
      <c r="G134" s="3261">
        <v>60000</v>
      </c>
      <c r="H134" s="3262"/>
      <c r="J134" s="3456"/>
      <c r="K134" s="3457"/>
      <c r="L134" s="828"/>
      <c r="M134" s="3261"/>
      <c r="N134" s="3262"/>
      <c r="P134" s="3261"/>
      <c r="Q134" s="3262"/>
      <c r="S134" s="3261">
        <v>60000</v>
      </c>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979385</v>
      </c>
      <c r="H135" s="3371"/>
      <c r="J135" s="3370">
        <f>SUM(J133:J134)</f>
        <v>205000</v>
      </c>
      <c r="K135" s="3371"/>
      <c r="L135" s="828"/>
      <c r="M135" s="3370">
        <f>SUM(M133:M134)</f>
        <v>0</v>
      </c>
      <c r="N135" s="3371"/>
      <c r="P135" s="3370">
        <f>SUM(P133:P134)</f>
        <v>0</v>
      </c>
      <c r="Q135" s="3371"/>
      <c r="S135" s="3370">
        <f>SUM(S129:S134)</f>
        <v>774385</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6275</v>
      </c>
      <c r="C143" s="3453" t="s">
        <v>6721</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355">
        <f>G18+G24+G28+G36+G41+G46+G55+G73+G86+G92+G103+G114+G120+G127+G135+G144</f>
        <v>25403016</v>
      </c>
      <c r="H146" s="3356"/>
      <c r="J146" s="3355">
        <f>J18+J24+J28+J36+J41+J46+J55+J73+J86+J92+J103+J114+J120+J127+J135+J144</f>
        <v>21486863</v>
      </c>
      <c r="K146" s="3356"/>
      <c r="M146" s="3355">
        <f>M18+M24+M28+M36+M41+M46+M55+M73+M86+M92+M103+M114+M120+M127+M135+M144</f>
        <v>0</v>
      </c>
      <c r="N146" s="3356"/>
      <c r="P146" s="3355">
        <f>P18+P24+P28+P36+P41+P46+P55+P73+P86+P92+P103+P114+P120+P127+P135+P144</f>
        <v>0</v>
      </c>
      <c r="Q146" s="3356"/>
      <c r="S146" s="3355">
        <f>S18+S24+S28+S36+S41+S46+S55+S73+S86+S92+S103+S114+S120+S127+S135+S144</f>
        <v>3916153</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282255.73333333334</v>
      </c>
      <c r="E148" s="3367"/>
      <c r="F148" s="390" t="s">
        <v>2487</v>
      </c>
      <c r="G148" s="3368">
        <f>IF('Part V-Revenues &amp; Expenses'!$K$175=0,0,G146/'Part V-Revenues &amp; Expenses'!$K$175)</f>
        <v>246.29645142524723</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21486863</v>
      </c>
      <c r="K162" s="3415"/>
      <c r="M162" s="3502">
        <f>M146</f>
        <v>0</v>
      </c>
      <c r="N162" s="3503"/>
      <c r="P162" s="3413">
        <f>P146</f>
        <v>0</v>
      </c>
      <c r="Q162" s="3415"/>
      <c r="R162" s="3373" t="s">
        <v>3773</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21486863</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7054</v>
      </c>
      <c r="I165" s="3433"/>
      <c r="J165" s="3434">
        <v>1</v>
      </c>
      <c r="K165" s="3435"/>
      <c r="M165" s="3436"/>
      <c r="N165" s="3436"/>
      <c r="P165" s="3434"/>
      <c r="Q165" s="3435"/>
      <c r="R165" s="3375" t="s">
        <v>7055</v>
      </c>
      <c r="S165" s="3376"/>
      <c r="T165" s="3377"/>
      <c r="U165" s="1170"/>
      <c r="V165" s="849"/>
      <c r="W165" s="3384"/>
      <c r="X165" s="3385"/>
      <c r="AZ165" s="1968"/>
      <c r="BA165" s="1706">
        <v>165</v>
      </c>
    </row>
    <row r="166" spans="1:53" s="144" customFormat="1" ht="14.1" customHeight="1">
      <c r="B166" s="144" t="s">
        <v>1903</v>
      </c>
      <c r="J166" s="3416">
        <f>J164*J165</f>
        <v>21486863</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0.88888888888888884</v>
      </c>
      <c r="K167" s="3438"/>
      <c r="M167" s="3437">
        <f>MIN('Part V-Revenues &amp; Expenses'!$P$63/'Part V-Revenues &amp; Expenses'!$P$65,'Part V-Revenues &amp; Expenses'!$P$164/'Part V-Revenues &amp; Expenses'!$P$166)</f>
        <v>0.88888888888888884</v>
      </c>
      <c r="N167" s="3438"/>
      <c r="P167" s="3437">
        <f>MIN('Part V-Revenues &amp; Expenses'!$P$63/'Part V-Revenues &amp; Expenses'!$P$65,'Part V-Revenues &amp; Expenses'!$P$164/'Part V-Revenues &amp; Expenses'!$P$166)</f>
        <v>0.88888888888888884</v>
      </c>
      <c r="Q167" s="3438"/>
      <c r="R167" s="3381"/>
      <c r="S167" s="3382"/>
      <c r="T167" s="3383"/>
      <c r="V167" s="849"/>
      <c r="W167" s="3384"/>
      <c r="X167" s="3385"/>
      <c r="AZ167" s="1968"/>
      <c r="BA167" s="1706">
        <v>167</v>
      </c>
    </row>
    <row r="168" spans="1:53" s="144" customFormat="1" ht="14.1" customHeight="1">
      <c r="B168" s="144" t="s">
        <v>1895</v>
      </c>
      <c r="J168" s="3416">
        <f>J166*J167</f>
        <v>19099433.777777776</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1718949.0399999998</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1718949</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413">
        <f>G146</f>
        <v>25403016</v>
      </c>
      <c r="K176" s="3414"/>
      <c r="L176" s="3415"/>
      <c r="N176" s="3443" t="s">
        <v>6716</v>
      </c>
      <c r="O176" s="3444"/>
      <c r="P176" s="3444"/>
      <c r="Q176" s="3445"/>
      <c r="S176" s="3409" t="s">
        <v>3187</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7273800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18129216</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2652</v>
      </c>
      <c r="V179" s="849"/>
      <c r="W179" s="3384"/>
      <c r="X179" s="3385"/>
      <c r="AZ179" s="1968"/>
      <c r="BA179" s="1706">
        <v>179</v>
      </c>
    </row>
    <row r="180" spans="1:53" s="144" customFormat="1" ht="14.1" customHeight="1">
      <c r="B180" s="144" t="s">
        <v>1210</v>
      </c>
      <c r="J180" s="3425">
        <f>J178/10</f>
        <v>1812921.6</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1.47</v>
      </c>
      <c r="K182" s="3401"/>
      <c r="L182" s="3402"/>
      <c r="M182" s="248" t="s">
        <v>1212</v>
      </c>
      <c r="N182" s="3403">
        <v>0.89</v>
      </c>
      <c r="O182" s="3404"/>
      <c r="P182" s="248" t="s">
        <v>570</v>
      </c>
      <c r="Q182" s="3403">
        <v>0.57999999999999996</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1233280</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06">
        <v>1225000</v>
      </c>
      <c r="K187" s="3407"/>
      <c r="L187" s="3408"/>
      <c r="Q187" s="147" t="s">
        <v>6247</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06">
        <v>1225000</v>
      </c>
      <c r="K189" s="3407"/>
      <c r="L189" s="3408"/>
      <c r="M189" s="3442" t="str">
        <f>IF(J187=0,"",IF(J189&gt;J187,"Request can't exceed Maximum - REVISE (Try Round Down)!",""))</f>
        <v/>
      </c>
      <c r="N189" s="3442"/>
      <c r="O189" s="3442"/>
      <c r="P189" s="3442"/>
      <c r="Q189" s="241" t="s">
        <v>6543</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28">
        <f>IF(J189="",0,+MIN(J187,J189))</f>
        <v>1225000</v>
      </c>
      <c r="K191" s="3429"/>
      <c r="L191" s="3430"/>
      <c r="M191" s="3442"/>
      <c r="N191" s="3442"/>
      <c r="O191" s="3442"/>
      <c r="P191" s="3442"/>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7071</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 zoomScaleNormal="100" workbookViewId="0">
      <selection activeCell="H71" sqref="H71:H75"/>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Helix  -  Riverdale  -  Clayton,  County</v>
      </c>
      <c r="B1" s="3520"/>
      <c r="C1" s="3520"/>
      <c r="D1" s="3520"/>
      <c r="E1" s="3520"/>
      <c r="F1" s="3520"/>
      <c r="G1" s="3520"/>
      <c r="H1" s="3520"/>
      <c r="I1" s="722"/>
      <c r="J1" s="722"/>
      <c r="K1" s="722"/>
      <c r="L1" s="722"/>
      <c r="M1" s="722"/>
      <c r="N1" s="722"/>
    </row>
    <row r="2" spans="1:14" ht="9" customHeight="1"/>
    <row r="3" spans="1:14" ht="57" customHeight="1">
      <c r="A3" s="3521" t="s">
        <v>3214</v>
      </c>
      <c r="B3" s="3522"/>
      <c r="C3" s="3522"/>
      <c r="D3" s="3522"/>
      <c r="E3" s="3522"/>
      <c r="F3" s="3522"/>
      <c r="G3" s="3522"/>
      <c r="H3" s="3523"/>
    </row>
    <row r="4" spans="1:14" ht="6" customHeight="1"/>
    <row r="5" spans="1:14" ht="38.25" customHeight="1">
      <c r="A5" s="3524" t="s">
        <v>3276</v>
      </c>
      <c r="B5" s="3524"/>
      <c r="C5" s="3524"/>
      <c r="D5" s="352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Contruction Materials Testing</v>
      </c>
      <c r="B9" s="3517"/>
      <c r="C9" s="3517"/>
      <c r="D9" s="3518"/>
      <c r="F9" s="3513" t="s">
        <v>7056</v>
      </c>
      <c r="G9" s="726"/>
      <c r="H9" s="3513" t="s">
        <v>7057</v>
      </c>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3209</v>
      </c>
      <c r="B12" s="734">
        <f>'Part III-A-Uses of Funds'!$G$15</f>
        <v>105000</v>
      </c>
      <c r="C12" s="735" t="s">
        <v>1665</v>
      </c>
      <c r="D12" s="734">
        <f>'Part III-A-Uses of Funds'!$J$15+'Part III-A-Uses of Funds'!$M$15+'Part III-A-Uses of Funds'!$P$15</f>
        <v>105000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NPDES Testing</v>
      </c>
      <c r="B14" s="3517"/>
      <c r="C14" s="3517"/>
      <c r="D14" s="3518"/>
      <c r="F14" s="3514" t="s">
        <v>7058</v>
      </c>
      <c r="G14" s="726"/>
      <c r="H14" s="3514" t="s">
        <v>7057</v>
      </c>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3209</v>
      </c>
      <c r="B17" s="734">
        <f>'Part III-A-Uses of Funds'!$G$16</f>
        <v>32000</v>
      </c>
      <c r="C17" s="735" t="s">
        <v>1665</v>
      </c>
      <c r="D17" s="734">
        <f>'Part III-A-Uses of Funds'!$J$16+'Part III-A-Uses of Funds'!$M$16+'Part III-A-Uses of Funds'!$P$16</f>
        <v>32000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3209</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3208</v>
      </c>
      <c r="B24" s="726"/>
      <c r="C24" s="726"/>
      <c r="D24" s="726"/>
      <c r="E24" s="726"/>
      <c r="F24" s="726"/>
      <c r="G24" s="726"/>
    </row>
    <row r="25" spans="1:8" s="725" customFormat="1" ht="41.25" customHeight="1">
      <c r="A25" s="3516" t="str">
        <f>'Part III-A-Uses of Funds'!$C$46</f>
        <v>Site Lighting</v>
      </c>
      <c r="B25" s="3517"/>
      <c r="C25" s="3517"/>
      <c r="D25" s="3518"/>
      <c r="E25" s="726"/>
      <c r="F25" s="3510" t="s">
        <v>7059</v>
      </c>
      <c r="G25" s="726"/>
      <c r="H25" s="3510" t="s">
        <v>7057</v>
      </c>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3209</v>
      </c>
      <c r="B28" s="734">
        <f>'Part III-A-Uses of Funds'!$G$46</f>
        <v>20000</v>
      </c>
      <c r="C28" s="735" t="s">
        <v>1665</v>
      </c>
      <c r="D28" s="734">
        <f>'Part III-A-Uses of Funds'!$J$46+'Part III-A-Uses of Funds'!$M$46+'Part III-A-Uses of Funds'!$P$46</f>
        <v>20000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3209</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3209</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Radon Design and Testing</v>
      </c>
      <c r="B42" s="3505"/>
      <c r="C42" s="3505"/>
      <c r="D42" s="3506"/>
      <c r="F42" s="3510" t="s">
        <v>7060</v>
      </c>
      <c r="G42" s="726"/>
      <c r="H42" s="3510" t="s">
        <v>7057</v>
      </c>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3209</v>
      </c>
      <c r="B45" s="734">
        <f>'Part III-A-Uses of Funds'!$G$85</f>
        <v>6500</v>
      </c>
      <c r="C45" s="735" t="s">
        <v>1665</v>
      </c>
      <c r="D45" s="734">
        <f>'Part III-A-Uses of Funds'!$J$85+'Part III-A-Uses of Funds'!$M$85+'Part III-A-Uses of Funds'!$P$85</f>
        <v>6500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3209</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3210</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3209</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3209</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3211</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3209</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Taxes and Insurance Escrow</v>
      </c>
      <c r="B71" s="3505"/>
      <c r="C71" s="3505"/>
      <c r="D71" s="3506"/>
      <c r="F71" s="3510" t="s">
        <v>7061</v>
      </c>
      <c r="G71" s="726"/>
      <c r="H71" s="3510" t="s">
        <v>7062</v>
      </c>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3209</v>
      </c>
      <c r="B74" s="734">
        <f>'Part III-A-Uses of Funds'!$G$134</f>
        <v>60000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3212</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3209</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S38" sqref="S3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Helix, Riverdale, Clayton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6737</v>
      </c>
      <c r="I3" s="3551" t="str">
        <f>VLOOKUP('Part I-Project Identification'!$J$26,'DCA Underwriting Assumptions'!$G$141:$H$300,2)</f>
        <v>Local PHA</v>
      </c>
      <c r="J3" s="3552"/>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7063</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44927</v>
      </c>
      <c r="J8" s="3544"/>
      <c r="K8" s="5" t="s">
        <v>505</v>
      </c>
      <c r="L8" s="3545" t="s">
        <v>7064</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7065</v>
      </c>
      <c r="E12" s="3534"/>
      <c r="F12" s="207" t="s">
        <v>416</v>
      </c>
      <c r="G12" s="207"/>
      <c r="H12" s="804"/>
      <c r="I12" s="1266"/>
      <c r="J12" s="1266">
        <v>9</v>
      </c>
      <c r="K12" s="1266">
        <v>12</v>
      </c>
      <c r="L12" s="1266"/>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8</v>
      </c>
      <c r="K13" s="1267">
        <v>10</v>
      </c>
      <c r="L13" s="1268"/>
      <c r="M13" s="1268"/>
      <c r="O13" s="3525" t="s">
        <v>3275</v>
      </c>
      <c r="P13" s="3525"/>
      <c r="Q13" s="3525"/>
    </row>
    <row r="14" spans="1:25" s="6" customFormat="1" ht="12" customHeight="1">
      <c r="B14" s="1275" t="s">
        <v>1493</v>
      </c>
      <c r="C14" s="1276"/>
      <c r="D14" s="3535" t="s">
        <v>1491</v>
      </c>
      <c r="E14" s="3536"/>
      <c r="F14" s="208" t="s">
        <v>416</v>
      </c>
      <c r="G14" s="208"/>
      <c r="H14" s="203"/>
      <c r="I14" s="1267"/>
      <c r="J14" s="1267">
        <v>14</v>
      </c>
      <c r="K14" s="1267">
        <v>20</v>
      </c>
      <c r="L14" s="1268"/>
      <c r="M14" s="1268"/>
      <c r="O14" s="3525"/>
      <c r="P14" s="3525"/>
      <c r="Q14" s="3525"/>
    </row>
    <row r="15" spans="1:25" s="6" customFormat="1" ht="12" customHeight="1">
      <c r="B15" s="1277" t="s">
        <v>440</v>
      </c>
      <c r="C15" s="1278"/>
      <c r="D15" s="1277" t="s">
        <v>1491</v>
      </c>
      <c r="E15" s="204"/>
      <c r="F15" s="208" t="s">
        <v>416</v>
      </c>
      <c r="G15" s="208"/>
      <c r="H15" s="802"/>
      <c r="I15" s="1267"/>
      <c r="J15" s="1267">
        <v>7</v>
      </c>
      <c r="K15" s="1267">
        <v>10</v>
      </c>
      <c r="L15" s="1268"/>
      <c r="M15" s="1268"/>
      <c r="O15" s="3525"/>
      <c r="P15" s="3525"/>
      <c r="Q15" s="3525"/>
    </row>
    <row r="16" spans="1:25" s="6" customFormat="1" ht="12" customHeight="1">
      <c r="B16" s="1279" t="s">
        <v>3269</v>
      </c>
      <c r="C16" s="1274"/>
      <c r="D16" s="1273" t="s">
        <v>1491</v>
      </c>
      <c r="E16" s="801"/>
      <c r="F16" s="208"/>
      <c r="G16" s="208"/>
      <c r="H16" s="803"/>
      <c r="I16" s="1267"/>
      <c r="J16" s="1267"/>
      <c r="K16" s="1267"/>
      <c r="L16" s="1268"/>
      <c r="M16" s="1268"/>
      <c r="O16" s="3525"/>
      <c r="P16" s="3525"/>
      <c r="Q16" s="3525"/>
    </row>
    <row r="17" spans="1:25" s="6" customFormat="1" ht="12" customHeight="1">
      <c r="B17" s="1279" t="s">
        <v>3270</v>
      </c>
      <c r="C17" s="1274"/>
      <c r="D17" s="1273" t="s">
        <v>1491</v>
      </c>
      <c r="E17" s="801"/>
      <c r="F17" s="208"/>
      <c r="G17" s="208"/>
      <c r="H17" s="803"/>
      <c r="I17" s="1267"/>
      <c r="J17" s="1267"/>
      <c r="K17" s="1267"/>
      <c r="L17" s="1268"/>
      <c r="M17" s="1268"/>
      <c r="O17" s="3525"/>
      <c r="P17" s="3525"/>
      <c r="Q17" s="3525"/>
    </row>
    <row r="18" spans="1:25" s="6" customFormat="1" ht="12" customHeight="1">
      <c r="B18" s="1280" t="s">
        <v>3271</v>
      </c>
      <c r="C18" s="1276"/>
      <c r="D18" s="1275" t="s">
        <v>1491</v>
      </c>
      <c r="E18" s="801"/>
      <c r="F18" s="208" t="s">
        <v>416</v>
      </c>
      <c r="G18" s="208"/>
      <c r="H18" s="203"/>
      <c r="I18" s="1267"/>
      <c r="J18" s="1267">
        <v>22</v>
      </c>
      <c r="K18" s="1267">
        <v>29</v>
      </c>
      <c r="L18" s="1268"/>
      <c r="M18" s="1268"/>
      <c r="O18" s="3525"/>
      <c r="P18" s="3525"/>
      <c r="Q18" s="3525"/>
    </row>
    <row r="19" spans="1:25" s="6" customFormat="1" ht="12" customHeight="1">
      <c r="B19" s="1277" t="s">
        <v>1292</v>
      </c>
      <c r="C19" s="1278"/>
      <c r="D19" s="1283" t="s">
        <v>3076</v>
      </c>
      <c r="E19" s="1265" t="s">
        <v>2649</v>
      </c>
      <c r="F19" s="208"/>
      <c r="G19" s="208" t="s">
        <v>416</v>
      </c>
      <c r="H19" s="802"/>
      <c r="I19" s="1267"/>
      <c r="J19" s="1267"/>
      <c r="K19" s="1267"/>
      <c r="L19" s="1268"/>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60</v>
      </c>
      <c r="K22" s="119">
        <f>IF(SUM(K12:K21)=0,0,IF(OR($D12="&lt;&lt;Select Fuel &gt;&gt;",$D13="&lt;&lt;Select Fuel &gt;&gt;",$D14="&lt;&lt;Select Fuel &gt;&gt;"),"Select Fuel",IF($E19="&lt;Select&gt;","Submeter?",SUM(K12:K21))))</f>
        <v>81</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3275</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3269</v>
      </c>
      <c r="C33" s="1274"/>
      <c r="D33" s="1273" t="s">
        <v>1491</v>
      </c>
      <c r="E33" s="801"/>
      <c r="F33" s="208"/>
      <c r="G33" s="208"/>
      <c r="H33" s="803"/>
      <c r="I33" s="1267"/>
      <c r="J33" s="1267"/>
      <c r="K33" s="1267"/>
      <c r="L33" s="1268"/>
      <c r="M33" s="1268"/>
      <c r="O33" s="3525"/>
      <c r="P33" s="3525"/>
      <c r="Q33" s="3525"/>
    </row>
    <row r="34" spans="1:19" s="6" customFormat="1" ht="12" customHeight="1">
      <c r="B34" s="1279" t="s">
        <v>3270</v>
      </c>
      <c r="C34" s="1274"/>
      <c r="D34" s="1273" t="s">
        <v>1491</v>
      </c>
      <c r="E34" s="801"/>
      <c r="F34" s="208"/>
      <c r="G34" s="208"/>
      <c r="H34" s="803"/>
      <c r="I34" s="1267"/>
      <c r="J34" s="1267"/>
      <c r="K34" s="1267"/>
      <c r="L34" s="1268"/>
      <c r="M34" s="1268"/>
      <c r="O34" s="3525"/>
      <c r="P34" s="3525"/>
      <c r="Q34" s="3525"/>
    </row>
    <row r="35" spans="1:19" s="6" customFormat="1" ht="12" customHeight="1">
      <c r="B35" s="1280" t="s">
        <v>3271</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7115</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Devin Blankenship</cp:lastModifiedBy>
  <cp:lastPrinted>2023-05-06T18:57:46Z</cp:lastPrinted>
  <dcterms:created xsi:type="dcterms:W3CDTF">2005-09-15T20:51:37Z</dcterms:created>
  <dcterms:modified xsi:type="dcterms:W3CDTF">2023-05-17T17:48:09Z</dcterms:modified>
</cp:coreProperties>
</file>